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yorkshirewater.sharepoint.com/teams/BulkSupplyChargesforNAVs/Shared Documents/02 - BSP Model/03 - BSP Model - FINAL/07. BSP Model NAVs 2025-26/"/>
    </mc:Choice>
  </mc:AlternateContent>
  <xr:revisionPtr revIDLastSave="7" documentId="8_{754FBBE1-143B-46EF-8A6F-F1A69A393905}" xr6:coauthVersionLast="47" xr6:coauthVersionMax="47" xr10:uidLastSave="{5F656702-883B-4094-85E9-7F5AF7DB821B}"/>
  <bookViews>
    <workbookView xWindow="33720" yWindow="-120" windowWidth="25440" windowHeight="15270" tabRatio="876" xr2:uid="{E283218E-8BCE-46DA-9C03-BFCAB4C8EFB5}"/>
  </bookViews>
  <sheets>
    <sheet name="Intro" sheetId="1" r:id="rId1"/>
    <sheet name="Guidance" sheetId="82" r:id="rId2"/>
    <sheet name="Wholesale Tariff Inputs" sheetId="86" r:id="rId3"/>
    <sheet name="York Areas" sheetId="87" r:id="rId4"/>
    <sheet name="Cockpit" sheetId="68" r:id="rId5"/>
    <sheet name="O&gt;" sheetId="19" r:id="rId6"/>
    <sheet name="Charging arrangements table" sheetId="81" r:id="rId7"/>
    <sheet name="Margin comparison" sheetId="85" r:id="rId8"/>
    <sheet name="C&gt;" sheetId="15" r:id="rId9"/>
    <sheet name="Bulk Supply Tariffs" sheetId="75" r:id="rId10"/>
    <sheet name="Avoided Capital Maintenance" sheetId="74" r:id="rId11"/>
    <sheet name="Avoided Operating Costs" sheetId="73" r:id="rId12"/>
    <sheet name="Relevant starting point" sheetId="62" r:id="rId13"/>
    <sheet name="I &gt;" sheetId="7" r:id="rId14"/>
    <sheet name="Wholesale tariffs" sheetId="72" r:id="rId15"/>
  </sheets>
  <definedNames>
    <definedName name="_ModelDate" localSheetId="7">#REF!</definedName>
    <definedName name="_ModelDate">Intro!$B$4</definedName>
    <definedName name="_ModelName" localSheetId="7">#REF!</definedName>
    <definedName name="_ModelName">Intro!$B$2</definedName>
    <definedName name="_ModelStatus" localSheetId="7">#REF!</definedName>
    <definedName name="_ModelStatus">Intro!$E$4</definedName>
    <definedName name="_ModelVersion" localSheetId="7">#REF!</definedName>
    <definedName name="_ModelVersion">Intro!$D$4</definedName>
    <definedName name="_OrganisationName" localSheetId="7">#REF!</definedName>
    <definedName name="_OrganisationName">Intro!$B$3</definedName>
    <definedName name="Million" localSheetId="4">Cockpit!$G$5</definedName>
    <definedName name="Million" localSheetId="1">Guidance!$G$5</definedName>
    <definedName name="Million">#REF!</definedName>
    <definedName name="Thousand" localSheetId="4">Cockpit!#REF!</definedName>
    <definedName name="Thousand" localSheetId="1">Guidance!$G$4</definedName>
    <definedName name="Thousan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3" i="62" l="1"/>
  <c r="G41" i="73"/>
  <c r="G42" i="73"/>
  <c r="G43" i="73"/>
  <c r="G44" i="73"/>
  <c r="F45" i="73"/>
  <c r="G46" i="73"/>
  <c r="G47" i="73"/>
  <c r="G48" i="73"/>
  <c r="G49" i="73"/>
  <c r="E48" i="86" l="1"/>
  <c r="E50" i="86"/>
  <c r="E49" i="86"/>
  <c r="F50" i="86" l="1"/>
  <c r="I27" i="68" l="1"/>
  <c r="R39" i="81"/>
  <c r="J39" i="81"/>
  <c r="H32" i="81" l="1"/>
  <c r="G32" i="81"/>
  <c r="V56" i="72" l="1"/>
  <c r="U64" i="72"/>
  <c r="V64" i="72"/>
  <c r="U65" i="72"/>
  <c r="V65" i="72"/>
  <c r="V66" i="72"/>
  <c r="F15" i="86" l="1"/>
  <c r="F14" i="86"/>
  <c r="J17" i="62" l="1"/>
  <c r="I33" i="68"/>
  <c r="G23" i="85" s="1"/>
  <c r="I32" i="68"/>
  <c r="I28" i="68"/>
  <c r="I23" i="68"/>
  <c r="I21" i="68"/>
  <c r="I18" i="68"/>
  <c r="J12" i="75" s="1"/>
  <c r="I17" i="68"/>
  <c r="G11" i="85" l="1"/>
  <c r="I41" i="68"/>
  <c r="I42" i="68"/>
  <c r="J11" i="75"/>
  <c r="I29" i="68"/>
  <c r="I24" i="68" s="1"/>
  <c r="G15" i="85" s="1"/>
  <c r="I22" i="68" l="1"/>
  <c r="G14" i="85" s="1"/>
  <c r="I39" i="81" l="1"/>
  <c r="H39" i="81"/>
  <c r="G39" i="81"/>
  <c r="A1" i="85" l="1" a="1"/>
  <c r="A1" i="85" s="1"/>
  <c r="G20" i="85"/>
  <c r="G26" i="85" s="1"/>
  <c r="G22" i="85"/>
  <c r="E35" i="85"/>
  <c r="E36" i="85"/>
  <c r="E37" i="85"/>
  <c r="G25" i="85" l="1"/>
  <c r="G12" i="85" l="1"/>
  <c r="K54" i="73"/>
  <c r="K55" i="73"/>
  <c r="K53" i="73"/>
  <c r="K52" i="73"/>
  <c r="L84" i="73" l="1"/>
  <c r="M84" i="73"/>
  <c r="N84" i="73"/>
  <c r="O84" i="73"/>
  <c r="A1" i="82" l="1" a="1"/>
  <c r="A1" i="82" s="1"/>
  <c r="H10" i="81" l="1"/>
  <c r="I30" i="81" l="1"/>
  <c r="I21" i="81"/>
  <c r="I19" i="81"/>
  <c r="I28" i="81"/>
  <c r="G37" i="85"/>
  <c r="G36" i="85"/>
  <c r="J29" i="74"/>
  <c r="J28" i="74"/>
  <c r="J27" i="74"/>
  <c r="J26" i="74"/>
  <c r="J24" i="74"/>
  <c r="J25" i="74"/>
  <c r="K25" i="74" s="1"/>
  <c r="J27" i="62"/>
  <c r="J13" i="62"/>
  <c r="K43" i="62" s="1"/>
  <c r="A1" i="62" a="1"/>
  <c r="A1" i="62" s="1"/>
  <c r="I31" i="74"/>
  <c r="J23" i="74"/>
  <c r="A1" i="74" a="1"/>
  <c r="A1" i="74" s="1"/>
  <c r="G102" i="73"/>
  <c r="G96" i="73"/>
  <c r="G101" i="73" s="1"/>
  <c r="G95" i="73"/>
  <c r="E43" i="81" s="1"/>
  <c r="G94" i="73"/>
  <c r="E42" i="81" s="1"/>
  <c r="G93" i="73"/>
  <c r="E41" i="81" s="1"/>
  <c r="G92" i="73"/>
  <c r="E40" i="81" s="1"/>
  <c r="E77" i="73"/>
  <c r="K37" i="73"/>
  <c r="L37" i="73" s="1"/>
  <c r="M37" i="73" s="1"/>
  <c r="N37" i="73" s="1"/>
  <c r="O37" i="73" s="1"/>
  <c r="A1" i="73" a="1"/>
  <c r="A1" i="73" s="1"/>
  <c r="A1" i="75" a="1"/>
  <c r="A1" i="75" s="1"/>
  <c r="H31" i="81"/>
  <c r="G31" i="81"/>
  <c r="H30" i="81"/>
  <c r="G30" i="81"/>
  <c r="H28" i="81"/>
  <c r="G28" i="81"/>
  <c r="H27" i="81"/>
  <c r="G27" i="81"/>
  <c r="H23" i="81"/>
  <c r="G23" i="81"/>
  <c r="H22" i="81"/>
  <c r="G22" i="81"/>
  <c r="H21" i="81"/>
  <c r="G21" i="81"/>
  <c r="H19" i="81"/>
  <c r="O62" i="81" s="1"/>
  <c r="G19" i="81"/>
  <c r="G67" i="81" s="1"/>
  <c r="H18" i="81"/>
  <c r="G18" i="81"/>
  <c r="A1" i="81" a="1"/>
  <c r="A1" i="81" s="1"/>
  <c r="L31" i="73"/>
  <c r="G18" i="85"/>
  <c r="G17" i="85"/>
  <c r="A1" i="68" a="1"/>
  <c r="A1" i="68" s="1"/>
  <c r="B4" i="1" a="1"/>
  <c r="B4" i="1" s="1"/>
  <c r="L36" i="73" l="1"/>
  <c r="L61" i="73" s="1"/>
  <c r="L23" i="73"/>
  <c r="M23" i="73" s="1"/>
  <c r="N23" i="73" s="1"/>
  <c r="O23" i="73" s="1"/>
  <c r="G35" i="85"/>
  <c r="J20" i="62"/>
  <c r="L26" i="73"/>
  <c r="M26" i="73" s="1"/>
  <c r="N26" i="73" s="1"/>
  <c r="O26" i="73" s="1"/>
  <c r="J21" i="62"/>
  <c r="L27" i="73"/>
  <c r="M27" i="73" s="1"/>
  <c r="N27" i="73" s="1"/>
  <c r="O27" i="73" s="1"/>
  <c r="M31" i="73"/>
  <c r="J25" i="62"/>
  <c r="J56" i="62" s="1"/>
  <c r="G29" i="85" s="1"/>
  <c r="G32" i="85" s="1"/>
  <c r="L32" i="73"/>
  <c r="M32" i="73" s="1"/>
  <c r="N32" i="73" s="1"/>
  <c r="O32" i="73" s="1"/>
  <c r="E44" i="81"/>
  <c r="J24" i="62"/>
  <c r="J55" i="62" s="1"/>
  <c r="G28" i="85" s="1"/>
  <c r="G31" i="85" s="1"/>
  <c r="J34" i="62"/>
  <c r="K34" i="62"/>
  <c r="K36" i="62"/>
  <c r="J37" i="62"/>
  <c r="J47" i="62"/>
  <c r="O66" i="73"/>
  <c r="O69" i="73" s="1"/>
  <c r="M34" i="74" s="1"/>
  <c r="N61" i="73"/>
  <c r="J45" i="62"/>
  <c r="O61" i="73"/>
  <c r="K45" i="62"/>
  <c r="J46" i="62"/>
  <c r="M67" i="73"/>
  <c r="M70" i="73" s="1"/>
  <c r="K35" i="74" s="1"/>
  <c r="K46" i="62"/>
  <c r="N67" i="73"/>
  <c r="N70" i="73" s="1"/>
  <c r="L35" i="74" s="1"/>
  <c r="O67" i="73"/>
  <c r="O70" i="73" s="1"/>
  <c r="M35" i="74" s="1"/>
  <c r="M60" i="73"/>
  <c r="N60" i="73"/>
  <c r="O60" i="73"/>
  <c r="J36" i="62"/>
  <c r="K81" i="62" s="1"/>
  <c r="J34" i="75" s="1"/>
  <c r="M66" i="73"/>
  <c r="M69" i="73" s="1"/>
  <c r="K34" i="74" s="1"/>
  <c r="N66" i="73"/>
  <c r="N69" i="73" s="1"/>
  <c r="M61" i="73"/>
  <c r="K47" i="62"/>
  <c r="J41" i="62"/>
  <c r="K41" i="62"/>
  <c r="J42" i="62"/>
  <c r="K42" i="62"/>
  <c r="J43" i="62"/>
  <c r="K37" i="62"/>
  <c r="I52" i="81"/>
  <c r="G52" i="81"/>
  <c r="H52" i="81"/>
  <c r="I67" i="81"/>
  <c r="H67" i="81"/>
  <c r="P62" i="81"/>
  <c r="Q62" i="81"/>
  <c r="J57" i="74"/>
  <c r="K27" i="74"/>
  <c r="J53" i="74"/>
  <c r="K23" i="74"/>
  <c r="J58" i="74"/>
  <c r="K28" i="74"/>
  <c r="K24" i="74"/>
  <c r="J54" i="74"/>
  <c r="J56" i="74"/>
  <c r="K26" i="74"/>
  <c r="L25" i="74"/>
  <c r="K55" i="74"/>
  <c r="K29" i="74"/>
  <c r="J59" i="74"/>
  <c r="J55" i="74"/>
  <c r="L35" i="73"/>
  <c r="L60" i="73" s="1"/>
  <c r="J19" i="74" l="1"/>
  <c r="K19" i="74" s="1"/>
  <c r="L19" i="74" s="1"/>
  <c r="M19" i="74" s="1"/>
  <c r="K33" i="62"/>
  <c r="J33" i="62"/>
  <c r="J67" i="62" s="1"/>
  <c r="J78" i="62" s="1"/>
  <c r="J59" i="62"/>
  <c r="J66" i="62" s="1"/>
  <c r="L28" i="73"/>
  <c r="G19" i="85"/>
  <c r="K40" i="74"/>
  <c r="L40" i="74" s="1"/>
  <c r="M40" i="74" s="1"/>
  <c r="K34" i="75"/>
  <c r="L34" i="75" s="1"/>
  <c r="M34" i="75" s="1"/>
  <c r="K67" i="62"/>
  <c r="K78" i="62" s="1"/>
  <c r="L85" i="73"/>
  <c r="L86" i="73" s="1"/>
  <c r="L104" i="73" s="1"/>
  <c r="J16" i="75" s="1"/>
  <c r="N31" i="73"/>
  <c r="M85" i="73"/>
  <c r="M86" i="73" s="1"/>
  <c r="M104" i="73" s="1"/>
  <c r="K59" i="62"/>
  <c r="K66" i="62" s="1"/>
  <c r="Q39" i="81"/>
  <c r="Q52" i="81" s="1"/>
  <c r="O39" i="81"/>
  <c r="O52" i="81" s="1"/>
  <c r="P39" i="81"/>
  <c r="P52" i="81" s="1"/>
  <c r="K41" i="74"/>
  <c r="L41" i="74" s="1"/>
  <c r="M41" i="74" s="1"/>
  <c r="M25" i="74"/>
  <c r="M55" i="74" s="1"/>
  <c r="L55" i="74"/>
  <c r="L28" i="74"/>
  <c r="K58" i="74"/>
  <c r="L29" i="74"/>
  <c r="K59" i="74"/>
  <c r="L24" i="74"/>
  <c r="K54" i="74"/>
  <c r="K53" i="74"/>
  <c r="L23" i="74"/>
  <c r="K56" i="74"/>
  <c r="L26" i="74"/>
  <c r="K57" i="74"/>
  <c r="L27" i="74"/>
  <c r="J16" i="74"/>
  <c r="K16" i="74" s="1"/>
  <c r="J17" i="74"/>
  <c r="L17" i="73"/>
  <c r="M17" i="73" s="1"/>
  <c r="L34" i="74"/>
  <c r="K60" i="62"/>
  <c r="K72" i="62" s="1"/>
  <c r="J60" i="62"/>
  <c r="O93" i="73" l="1"/>
  <c r="J41" i="81" s="1"/>
  <c r="J81" i="62"/>
  <c r="J22" i="75" s="1"/>
  <c r="K22" i="75" s="1"/>
  <c r="L22" i="75" s="1"/>
  <c r="M22" i="75" s="1"/>
  <c r="L46" i="85"/>
  <c r="K46" i="85"/>
  <c r="J46" i="85"/>
  <c r="I46" i="85"/>
  <c r="L22" i="73"/>
  <c r="M22" i="73" s="1"/>
  <c r="N22" i="73" s="1"/>
  <c r="O22" i="73" s="1"/>
  <c r="L49" i="74"/>
  <c r="K49" i="74"/>
  <c r="K69" i="74" s="1"/>
  <c r="J61" i="62"/>
  <c r="J73" i="62"/>
  <c r="J72" i="62"/>
  <c r="K68" i="62"/>
  <c r="K71" i="62"/>
  <c r="J71" i="62"/>
  <c r="K61" i="62"/>
  <c r="G53" i="81"/>
  <c r="K16" i="75"/>
  <c r="O53" i="81"/>
  <c r="O31" i="73"/>
  <c r="O85" i="73" s="1"/>
  <c r="O86" i="73" s="1"/>
  <c r="O104" i="73" s="1"/>
  <c r="N85" i="73"/>
  <c r="N86" i="73" s="1"/>
  <c r="N104" i="73" s="1"/>
  <c r="J68" i="62"/>
  <c r="L53" i="74"/>
  <c r="M23" i="74"/>
  <c r="M53" i="74" s="1"/>
  <c r="L54" i="74"/>
  <c r="M24" i="74"/>
  <c r="M54" i="74" s="1"/>
  <c r="L57" i="74"/>
  <c r="M27" i="74"/>
  <c r="M57" i="74" s="1"/>
  <c r="M29" i="74"/>
  <c r="M59" i="74" s="1"/>
  <c r="L59" i="74"/>
  <c r="L56" i="74"/>
  <c r="M26" i="74"/>
  <c r="M56" i="74" s="1"/>
  <c r="L58" i="74"/>
  <c r="M28" i="74"/>
  <c r="M58" i="74" s="1"/>
  <c r="L16" i="74"/>
  <c r="M16" i="74" s="1"/>
  <c r="M46" i="74" s="1"/>
  <c r="M66" i="74" s="1"/>
  <c r="K46" i="74"/>
  <c r="K66" i="74" s="1"/>
  <c r="N17" i="73"/>
  <c r="M74" i="73"/>
  <c r="K17" i="74"/>
  <c r="L17" i="74" s="1"/>
  <c r="M17" i="74" s="1"/>
  <c r="M47" i="74" s="1"/>
  <c r="J20" i="74"/>
  <c r="L19" i="73"/>
  <c r="M19" i="73" s="1"/>
  <c r="M77" i="73" s="1"/>
  <c r="J15" i="74"/>
  <c r="K15" i="74" s="1"/>
  <c r="J14" i="74"/>
  <c r="K14" i="74" s="1"/>
  <c r="J18" i="74"/>
  <c r="K18" i="74" s="1"/>
  <c r="M28" i="73"/>
  <c r="N28" i="73" s="1"/>
  <c r="O28" i="73" s="1"/>
  <c r="L67" i="73"/>
  <c r="L70" i="73" s="1"/>
  <c r="L66" i="73"/>
  <c r="M49" i="74" l="1"/>
  <c r="M69" i="74" s="1"/>
  <c r="I74" i="85"/>
  <c r="E29" i="86" s="1"/>
  <c r="L18" i="73"/>
  <c r="M18" i="73" s="1"/>
  <c r="N18" i="73" s="1"/>
  <c r="L47" i="74"/>
  <c r="L67" i="74" s="1"/>
  <c r="K47" i="74"/>
  <c r="K67" i="74" s="1"/>
  <c r="M94" i="73"/>
  <c r="P53" i="81"/>
  <c r="H53" i="81"/>
  <c r="L16" i="75"/>
  <c r="I53" i="81"/>
  <c r="Q53" i="81"/>
  <c r="M16" i="75"/>
  <c r="O58" i="81"/>
  <c r="O55" i="81"/>
  <c r="O59" i="81"/>
  <c r="O60" i="81"/>
  <c r="O56" i="81"/>
  <c r="G63" i="81"/>
  <c r="G59" i="81"/>
  <c r="G60" i="81"/>
  <c r="G61" i="81"/>
  <c r="G64" i="81"/>
  <c r="G56" i="81"/>
  <c r="G55" i="81"/>
  <c r="G65" i="81"/>
  <c r="M67" i="74"/>
  <c r="L69" i="74"/>
  <c r="L46" i="74"/>
  <c r="L66" i="74" s="1"/>
  <c r="L16" i="73"/>
  <c r="M16" i="73" s="1"/>
  <c r="N16" i="73" s="1"/>
  <c r="O16" i="73" s="1"/>
  <c r="L93" i="73"/>
  <c r="J27" i="75" s="1"/>
  <c r="M93" i="73"/>
  <c r="K27" i="75" s="1"/>
  <c r="N93" i="73"/>
  <c r="L27" i="75" s="1"/>
  <c r="L15" i="74"/>
  <c r="K45" i="74"/>
  <c r="K65" i="74" s="1"/>
  <c r="O17" i="73"/>
  <c r="O74" i="73" s="1"/>
  <c r="N74" i="73"/>
  <c r="K20" i="74"/>
  <c r="N19" i="73"/>
  <c r="N77" i="73" s="1"/>
  <c r="M95" i="73"/>
  <c r="L18" i="74"/>
  <c r="K48" i="74"/>
  <c r="K68" i="74" s="1"/>
  <c r="M27" i="75"/>
  <c r="I41" i="81"/>
  <c r="K44" i="74"/>
  <c r="K64" i="74" s="1"/>
  <c r="L14" i="74"/>
  <c r="K74" i="62"/>
  <c r="L69" i="73"/>
  <c r="L77" i="73" s="1"/>
  <c r="L95" i="73" s="1"/>
  <c r="J74" i="62"/>
  <c r="J77" i="62" s="1"/>
  <c r="J35" i="74"/>
  <c r="J74" i="85" l="1"/>
  <c r="G42" i="81"/>
  <c r="G43" i="81"/>
  <c r="K77" i="62"/>
  <c r="K80" i="62" s="1"/>
  <c r="M75" i="73"/>
  <c r="L75" i="73"/>
  <c r="L81" i="73" s="1"/>
  <c r="L101" i="73" s="1"/>
  <c r="J38" i="75" s="1"/>
  <c r="L20" i="74"/>
  <c r="K50" i="74"/>
  <c r="K70" i="74" s="1"/>
  <c r="K73" i="74" s="1"/>
  <c r="N94" i="73"/>
  <c r="O94" i="73"/>
  <c r="J50" i="74"/>
  <c r="J70" i="74" s="1"/>
  <c r="J49" i="74"/>
  <c r="J69" i="74" s="1"/>
  <c r="H60" i="81"/>
  <c r="H59" i="81"/>
  <c r="H61" i="81"/>
  <c r="H65" i="81"/>
  <c r="H55" i="81"/>
  <c r="H64" i="81"/>
  <c r="H56" i="81"/>
  <c r="H63" i="81"/>
  <c r="Q56" i="81"/>
  <c r="Q60" i="81"/>
  <c r="Q58" i="81"/>
  <c r="Q59" i="81"/>
  <c r="Q55" i="81"/>
  <c r="I56" i="81"/>
  <c r="I64" i="81"/>
  <c r="I55" i="81"/>
  <c r="I61" i="81"/>
  <c r="I63" i="81"/>
  <c r="I59" i="81"/>
  <c r="I60" i="81"/>
  <c r="I65" i="81"/>
  <c r="P55" i="81"/>
  <c r="P58" i="81"/>
  <c r="P56" i="81"/>
  <c r="P59" i="81"/>
  <c r="P60" i="81"/>
  <c r="H41" i="81"/>
  <c r="G41" i="81"/>
  <c r="N92" i="73"/>
  <c r="O92" i="73"/>
  <c r="J40" i="81" s="1"/>
  <c r="L92" i="73"/>
  <c r="L15" i="73"/>
  <c r="M92" i="73"/>
  <c r="O19" i="73"/>
  <c r="N95" i="73"/>
  <c r="M15" i="74"/>
  <c r="M45" i="74" s="1"/>
  <c r="M65" i="74" s="1"/>
  <c r="L45" i="74"/>
  <c r="L65" i="74" s="1"/>
  <c r="L44" i="74"/>
  <c r="L64" i="74" s="1"/>
  <c r="M14" i="74"/>
  <c r="M44" i="74" s="1"/>
  <c r="M64" i="74" s="1"/>
  <c r="K72" i="74"/>
  <c r="O18" i="73"/>
  <c r="O75" i="73" s="1"/>
  <c r="N75" i="73"/>
  <c r="M18" i="74"/>
  <c r="M48" i="74" s="1"/>
  <c r="M68" i="74" s="1"/>
  <c r="L48" i="74"/>
  <c r="L68" i="74" s="1"/>
  <c r="J79" i="62"/>
  <c r="J80" i="62"/>
  <c r="L74" i="73"/>
  <c r="J34" i="74"/>
  <c r="J47" i="74" s="1"/>
  <c r="M100" i="73" l="1"/>
  <c r="K37" i="75" s="1"/>
  <c r="M81" i="73"/>
  <c r="M101" i="73" s="1"/>
  <c r="H42" i="81"/>
  <c r="H43" i="81"/>
  <c r="I42" i="81"/>
  <c r="K79" i="62"/>
  <c r="L100" i="73"/>
  <c r="L102" i="73" s="1"/>
  <c r="O42" i="81"/>
  <c r="K39" i="75"/>
  <c r="M15" i="73"/>
  <c r="M80" i="73" s="1"/>
  <c r="M96" i="73" s="1"/>
  <c r="L80" i="73"/>
  <c r="L96" i="73" s="1"/>
  <c r="J26" i="75" s="1"/>
  <c r="M20" i="74"/>
  <c r="M50" i="74" s="1"/>
  <c r="M70" i="74" s="1"/>
  <c r="M73" i="74" s="1"/>
  <c r="L50" i="74"/>
  <c r="L70" i="74" s="1"/>
  <c r="L73" i="74" s="1"/>
  <c r="O77" i="73"/>
  <c r="J33" i="75"/>
  <c r="N81" i="73"/>
  <c r="N101" i="73" s="1"/>
  <c r="N100" i="73"/>
  <c r="M72" i="74"/>
  <c r="G45" i="81"/>
  <c r="K28" i="75"/>
  <c r="K74" i="74"/>
  <c r="O81" i="73"/>
  <c r="O101" i="73" s="1"/>
  <c r="O100" i="73"/>
  <c r="L72" i="74"/>
  <c r="I40" i="81"/>
  <c r="G40" i="81"/>
  <c r="K25" i="75"/>
  <c r="H40" i="81"/>
  <c r="L25" i="75"/>
  <c r="J67" i="74"/>
  <c r="J45" i="74"/>
  <c r="J65" i="74" s="1"/>
  <c r="J48" i="74"/>
  <c r="J68" i="74" s="1"/>
  <c r="J46" i="74"/>
  <c r="J66" i="74" s="1"/>
  <c r="J44" i="74"/>
  <c r="J64" i="74" s="1"/>
  <c r="J21" i="75"/>
  <c r="J44" i="75" s="1"/>
  <c r="L94" i="73"/>
  <c r="J73" i="74"/>
  <c r="O40" i="81" l="1"/>
  <c r="K38" i="75"/>
  <c r="K49" i="75" s="1"/>
  <c r="M97" i="73"/>
  <c r="J51" i="75"/>
  <c r="J48" i="75"/>
  <c r="I57" i="85" s="1"/>
  <c r="I45" i="85"/>
  <c r="I48" i="85" s="1"/>
  <c r="K33" i="75"/>
  <c r="K48" i="75" s="1"/>
  <c r="J37" i="75"/>
  <c r="I58" i="85"/>
  <c r="I59" i="85"/>
  <c r="L39" i="75"/>
  <c r="Q42" i="81"/>
  <c r="M102" i="73"/>
  <c r="J59" i="85" s="1"/>
  <c r="J61" i="85" s="1"/>
  <c r="O41" i="81"/>
  <c r="N15" i="73"/>
  <c r="N80" i="73" s="1"/>
  <c r="N96" i="73" s="1"/>
  <c r="P42" i="81"/>
  <c r="M39" i="75"/>
  <c r="O95" i="73"/>
  <c r="L37" i="75"/>
  <c r="P40" i="81"/>
  <c r="N102" i="73"/>
  <c r="K59" i="85" s="1"/>
  <c r="I45" i="81"/>
  <c r="M28" i="75"/>
  <c r="M74" i="74"/>
  <c r="H45" i="81"/>
  <c r="L28" i="75"/>
  <c r="L74" i="74"/>
  <c r="L38" i="75"/>
  <c r="P41" i="81"/>
  <c r="O102" i="73"/>
  <c r="L59" i="85" s="1"/>
  <c r="Q40" i="81"/>
  <c r="M37" i="75"/>
  <c r="K26" i="75"/>
  <c r="K45" i="75" s="1"/>
  <c r="G44" i="81"/>
  <c r="M38" i="75"/>
  <c r="Q41" i="81"/>
  <c r="J39" i="75"/>
  <c r="K21" i="75"/>
  <c r="J45" i="85" s="1"/>
  <c r="J48" i="85" s="1"/>
  <c r="L97" i="73"/>
  <c r="J25" i="75"/>
  <c r="J72" i="74"/>
  <c r="J28" i="75" s="1"/>
  <c r="O43" i="81" l="1"/>
  <c r="O63" i="81" s="1"/>
  <c r="O64" i="81" s="1"/>
  <c r="I62" i="85"/>
  <c r="J58" i="85"/>
  <c r="J60" i="85" s="1"/>
  <c r="J47" i="85"/>
  <c r="J49" i="85" s="1"/>
  <c r="I43" i="81"/>
  <c r="I61" i="85"/>
  <c r="I87" i="85"/>
  <c r="E41" i="86" s="1"/>
  <c r="E42" i="86" s="1"/>
  <c r="I60" i="85"/>
  <c r="J57" i="85"/>
  <c r="J62" i="85" s="1"/>
  <c r="J49" i="75"/>
  <c r="G46" i="81"/>
  <c r="G68" i="81" s="1"/>
  <c r="G69" i="81" s="1"/>
  <c r="L33" i="75"/>
  <c r="K58" i="85" s="1"/>
  <c r="K61" i="85"/>
  <c r="L61" i="85"/>
  <c r="J45" i="75"/>
  <c r="I47" i="85" s="1"/>
  <c r="I49" i="85" s="1"/>
  <c r="O15" i="73"/>
  <c r="O80" i="73" s="1"/>
  <c r="O96" i="73" s="1"/>
  <c r="M25" i="75"/>
  <c r="Q43" i="81"/>
  <c r="Q63" i="81" s="1"/>
  <c r="Q64" i="81" s="1"/>
  <c r="L49" i="75"/>
  <c r="L26" i="75"/>
  <c r="L45" i="75" s="1"/>
  <c r="K47" i="85" s="1"/>
  <c r="H44" i="81"/>
  <c r="H46" i="81" s="1"/>
  <c r="H68" i="81" s="1"/>
  <c r="H69" i="81" s="1"/>
  <c r="N97" i="73"/>
  <c r="M49" i="75"/>
  <c r="P43" i="81"/>
  <c r="P63" i="81" s="1"/>
  <c r="P64" i="81" s="1"/>
  <c r="J74" i="74"/>
  <c r="L21" i="75"/>
  <c r="K45" i="85" s="1"/>
  <c r="K44" i="75"/>
  <c r="J44" i="85" s="1"/>
  <c r="J50" i="85" l="1"/>
  <c r="J51" i="85" s="1"/>
  <c r="J65" i="85"/>
  <c r="I89" i="85"/>
  <c r="E44" i="86" s="1"/>
  <c r="K49" i="85"/>
  <c r="F41" i="86"/>
  <c r="K60" i="85"/>
  <c r="L48" i="75"/>
  <c r="K57" i="85" s="1"/>
  <c r="K62" i="85" s="1"/>
  <c r="M33" i="75"/>
  <c r="M48" i="75" s="1"/>
  <c r="L57" i="85" s="1"/>
  <c r="L62" i="85" s="1"/>
  <c r="J63" i="85"/>
  <c r="J87" i="85"/>
  <c r="I65" i="85"/>
  <c r="I63" i="85"/>
  <c r="M26" i="75"/>
  <c r="M45" i="75" s="1"/>
  <c r="L47" i="85" s="1"/>
  <c r="L49" i="85" s="1"/>
  <c r="I44" i="81"/>
  <c r="I46" i="81" s="1"/>
  <c r="I68" i="81" s="1"/>
  <c r="I69" i="81" s="1"/>
  <c r="O97" i="73"/>
  <c r="K48" i="85"/>
  <c r="M21" i="75"/>
  <c r="L44" i="75"/>
  <c r="K44" i="85" s="1"/>
  <c r="J53" i="85" l="1"/>
  <c r="I85" i="85"/>
  <c r="E39" i="86" s="1"/>
  <c r="I75" i="85"/>
  <c r="E30" i="86" s="1"/>
  <c r="I77" i="85"/>
  <c r="E33" i="86" s="1"/>
  <c r="J89" i="85"/>
  <c r="K50" i="85"/>
  <c r="L58" i="85"/>
  <c r="M44" i="75"/>
  <c r="L44" i="85" s="1"/>
  <c r="L50" i="85" s="1"/>
  <c r="L45" i="85"/>
  <c r="I90" i="85" l="1"/>
  <c r="E45" i="86" s="1"/>
  <c r="F30" i="86"/>
  <c r="E31" i="86"/>
  <c r="I86" i="85"/>
  <c r="E40" i="86" s="1"/>
  <c r="I73" i="85"/>
  <c r="E28" i="86" s="1"/>
  <c r="L60" i="85"/>
  <c r="I88" i="85" s="1"/>
  <c r="K65" i="85"/>
  <c r="K63" i="85"/>
  <c r="J85" i="85"/>
  <c r="J77" i="85"/>
  <c r="J75" i="85"/>
  <c r="L63" i="85"/>
  <c r="L48" i="85"/>
  <c r="I76" i="85" s="1"/>
  <c r="E32" i="86" s="1"/>
  <c r="L51" i="85"/>
  <c r="K53" i="85"/>
  <c r="K51" i="85"/>
  <c r="F35" i="86" l="1"/>
  <c r="F39" i="86"/>
  <c r="I91" i="85"/>
  <c r="J86" i="85"/>
  <c r="L65" i="85"/>
  <c r="J73" i="85"/>
  <c r="L53" i="85"/>
  <c r="J90" i="85"/>
  <c r="I93" i="85" l="1"/>
  <c r="E43" i="86"/>
  <c r="J91" i="85"/>
  <c r="E46" i="86"/>
  <c r="J88" i="85"/>
  <c r="J76" i="85"/>
  <c r="F46" i="86" l="1"/>
  <c r="J93" i="85"/>
  <c r="I44" i="85" l="1"/>
  <c r="I72" i="85" s="1"/>
  <c r="E27" i="86" l="1"/>
  <c r="I50" i="85"/>
  <c r="I78" i="85" s="1"/>
  <c r="F27" i="86" l="1"/>
  <c r="J78" i="85"/>
  <c r="J72" i="85"/>
  <c r="I53" i="85"/>
  <c r="I51" i="85"/>
  <c r="I79" i="85" s="1"/>
  <c r="E35" i="86" l="1"/>
  <c r="E34" i="86"/>
  <c r="I81" i="85"/>
  <c r="J79" i="85" l="1"/>
  <c r="J81" i="8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<sst xmlns="http://schemas.openxmlformats.org/spreadsheetml/2006/main" count="1045" uniqueCount="390">
  <si>
    <t>BSP model for NAVs</t>
  </si>
  <si>
    <t xml:space="preserve">Disclaimer:
This workbook has been prepared solely for the use and benefit of Yorkshire Water. CEPA do not accept or assume any responsibility or duty of care to any third party. CEPA do not make any representation or warranty, expressed or implied, as to the accuracy or completeness of the workbook and its input assumptions and assumes no responsibility for the accuracy or completeness of such information. CEPA accept no liability for any loss or damage arising out of the use of this workbook by a third party. </t>
  </si>
  <si>
    <t>Yorkshire Water</t>
  </si>
  <si>
    <t>Accompanying report:</t>
  </si>
  <si>
    <t>This workbook computes bulk supply charges for a NAV site for the current modelling year based on wholesale minus methodology. The approach takes Yorkshire Water’s wholesale charges as the starting point and deducts a set of on-site costs that would be avoided if a NAV were to operate a site instead of Yorkshire Water. The avoided costs are determined based on a menu-based approach. The results from this model will be placed in the Charging Arrangements document for the current modelling year.</t>
  </si>
  <si>
    <t>Version history</t>
  </si>
  <si>
    <t>Version</t>
  </si>
  <si>
    <t>Date</t>
  </si>
  <si>
    <t>Edited by</t>
  </si>
  <si>
    <t>Description of Changes</t>
  </si>
  <si>
    <t>CEPA</t>
  </si>
  <si>
    <t>Model development</t>
  </si>
  <si>
    <t>1</t>
  </si>
  <si>
    <t>Model finalisation</t>
  </si>
  <si>
    <t>Format key</t>
  </si>
  <si>
    <t>2</t>
  </si>
  <si>
    <t>YW</t>
  </si>
  <si>
    <t>Model finalisation 25-26</t>
  </si>
  <si>
    <t>Cells</t>
  </si>
  <si>
    <t>Cell intentionally blank</t>
  </si>
  <si>
    <t>Value</t>
  </si>
  <si>
    <t>Fixed input</t>
  </si>
  <si>
    <t>User input</t>
  </si>
  <si>
    <t>Calculation</t>
  </si>
  <si>
    <t>Unique formula (formula inconsistent to others in row/column)</t>
  </si>
  <si>
    <t>Value used on another worksheet</t>
  </si>
  <si>
    <t>Value from another worksheet</t>
  </si>
  <si>
    <t>Negative value</t>
  </si>
  <si>
    <t>Annotation</t>
  </si>
  <si>
    <t>Tabs</t>
  </si>
  <si>
    <t>QA log</t>
  </si>
  <si>
    <t>Sheet colour</t>
  </si>
  <si>
    <t>Information sheet</t>
  </si>
  <si>
    <t>Dashboard sheet</t>
  </si>
  <si>
    <t>QA'd by</t>
  </si>
  <si>
    <t>Description of QA</t>
  </si>
  <si>
    <t>Cockpit sheet</t>
  </si>
  <si>
    <t>Cell by cell QA</t>
  </si>
  <si>
    <t>Input sheet</t>
  </si>
  <si>
    <t>Calculation sheet</t>
  </si>
  <si>
    <t>Output sheet</t>
  </si>
  <si>
    <t>Tab Information</t>
  </si>
  <si>
    <t>Information</t>
  </si>
  <si>
    <t>Worksheet</t>
  </si>
  <si>
    <t>Description</t>
  </si>
  <si>
    <t>To adjust in future updates?</t>
  </si>
  <si>
    <t>Cover</t>
  </si>
  <si>
    <t>A cover sheet introducing the model.</t>
  </si>
  <si>
    <t>Yes</t>
  </si>
  <si>
    <t>Process map</t>
  </si>
  <si>
    <t>This sheet illustrates how the source data and the NAV input data are used to calculate the final set of tariffs.</t>
  </si>
  <si>
    <t>No</t>
  </si>
  <si>
    <t>Dashboard</t>
  </si>
  <si>
    <t>This sheet allows NAVs to input relevant data such as estimated consumption and number of properties, and displays a summary of the resultant bulk supply tariff.</t>
  </si>
  <si>
    <t>Cockpit</t>
  </si>
  <si>
    <t>This sheet contains assumptions required to calculate bulk supply tariffs.</t>
  </si>
  <si>
    <t>Outputs</t>
  </si>
  <si>
    <t>Charging arrangements table</t>
  </si>
  <si>
    <t>This sheet presents the calculated bulk supply tariffs in a 'menu' format.</t>
  </si>
  <si>
    <t>Margin comparison</t>
  </si>
  <si>
    <t>This sheet compares the margin a NAV will receive from a site under a menu-based approach with the margin it would have received under the previous site-specific approach.</t>
  </si>
  <si>
    <t>Typical sites Backcasting</t>
  </si>
  <si>
    <t>This sheet compares total net discounts that existing NAV sites would receive under a typical site approach against those received under site-specific charging</t>
  </si>
  <si>
    <t>Bulk Supply Tariffs</t>
  </si>
  <si>
    <t>This sheet calculates bulk supply tariffs NAV will face in the live charging year</t>
  </si>
  <si>
    <t>Avoided Operating Costs</t>
  </si>
  <si>
    <t xml:space="preserve">This sheet calculates the avoided operating costs Yorkshire Water no longer incurs where the NAV owns and maintains the new site network instead. </t>
  </si>
  <si>
    <t>Avoided Capital Maintenance</t>
  </si>
  <si>
    <t xml:space="preserve">This sheet calculates the avoided capital maintenance costs Yorkshire Water no longer incurs where the NAV owns and maintains the new site network instead. </t>
  </si>
  <si>
    <t>Relevant starting point</t>
  </si>
  <si>
    <t>This sheet calculates the wholesale tariff ‘starting point’ for the setting of bulk charges through a ‘weighted’ approach based on the mix of properties (household and non-household) to be built and served at the site and their relative forecast water consumption.</t>
  </si>
  <si>
    <t>Unit costs</t>
  </si>
  <si>
    <t>This sheet collates Yorkshire Water's cost data and calculates unit costs for different cost items.</t>
  </si>
  <si>
    <t>Inputs</t>
  </si>
  <si>
    <t>Wholesale tariffs</t>
  </si>
  <si>
    <t>This sheet contains Yorkshire Water's wholesale tariffs by charging year.</t>
  </si>
  <si>
    <t>End of Sheet</t>
  </si>
  <si>
    <t>Development Characteristics</t>
  </si>
  <si>
    <t>Please fill in the blue boxes. The green boxes are the results from the model</t>
  </si>
  <si>
    <t>Site Name</t>
  </si>
  <si>
    <t xml:space="preserve"> This is optional and allows for keeping track of different projects</t>
  </si>
  <si>
    <t>Site reference code</t>
  </si>
  <si>
    <t>Is the site within the York area?*</t>
  </si>
  <si>
    <t>Yes/No</t>
  </si>
  <si>
    <t>Please see tab 'York Areas' for maps and list of postcodes</t>
  </si>
  <si>
    <t>Bulk Water Supply</t>
  </si>
  <si>
    <t>Bulk Wastewater Supply</t>
  </si>
  <si>
    <t xml:space="preserve">Wastewater Surface Water Drainage </t>
  </si>
  <si>
    <t>Total mains network length</t>
  </si>
  <si>
    <t>km</t>
  </si>
  <si>
    <t>Total sewer network length</t>
  </si>
  <si>
    <t>Number of HH properties planned for site</t>
  </si>
  <si>
    <t>Number</t>
  </si>
  <si>
    <t>Number of NHH properties planned for site</t>
  </si>
  <si>
    <t>Annual HH water demand</t>
  </si>
  <si>
    <t>m3/prop/yr</t>
  </si>
  <si>
    <t>Use the YW default value of 130m3/prop/yr or input your own number if known</t>
  </si>
  <si>
    <t>Annual NHH water demand</t>
  </si>
  <si>
    <t>Use the YW default value of 5000m3/prop/yr or input your own number if known</t>
  </si>
  <si>
    <t>Tariff Results</t>
  </si>
  <si>
    <t>Water Tariff</t>
  </si>
  <si>
    <t>Volumetric water bulk supply tariff - leakage adjusted</t>
  </si>
  <si>
    <t>p/m3</t>
  </si>
  <si>
    <t>Leakage allowance provided in tariff</t>
  </si>
  <si>
    <t>Volumetric wholesale charges</t>
  </si>
  <si>
    <t>Fixed charge</t>
  </si>
  <si>
    <t>£/prop/yr</t>
  </si>
  <si>
    <t xml:space="preserve">Fixed per prop discount (total water avoidable costs) </t>
  </si>
  <si>
    <t xml:space="preserve">Fixed per prop discount NET of fixed charge </t>
  </si>
  <si>
    <t>End consumer wholesale charges</t>
  </si>
  <si>
    <t>£</t>
  </si>
  <si>
    <t xml:space="preserve">Total water avoidable costs for site </t>
  </si>
  <si>
    <t xml:space="preserve">Bulk supply 'charges' for site </t>
  </si>
  <si>
    <t xml:space="preserve">Equivalent water 'tariff' </t>
  </si>
  <si>
    <t>Gross margin</t>
  </si>
  <si>
    <t>Waste Water Tariff</t>
  </si>
  <si>
    <t>Volumetric wastewater bulk supply tariff - leakage adjusted *</t>
  </si>
  <si>
    <t>* Logic in Bulk Supply tariffs to remove leakage allowance when no Bulk Water supply</t>
  </si>
  <si>
    <t>Volumetric wholesale charge</t>
  </si>
  <si>
    <t xml:space="preserve">Fixed per prop discount (total wastewater avoidable costs) </t>
  </si>
  <si>
    <t xml:space="preserve">Total wastewater avoidable costs for site </t>
  </si>
  <si>
    <t xml:space="preserve">Bulk discharge 'charges' for site </t>
  </si>
  <si>
    <t xml:space="preserve">Equivalent wastewater 'tariff' </t>
  </si>
  <si>
    <t>Surface Water Drainage charge</t>
  </si>
  <si>
    <t>Total surface water 'charges' for the site</t>
  </si>
  <si>
    <t>End consumer wholesale SWD charges</t>
  </si>
  <si>
    <t>York Waterworks Map (extract from licence)</t>
  </si>
  <si>
    <t>York Waterworks territory is detailed by the parishes that make up the area.</t>
  </si>
  <si>
    <t xml:space="preserve">If the NAV site resides within one of these parishes Yorkshire Water will use our published York Waterworks tariffs for setting the wholesale starting tariff: </t>
  </si>
  <si>
    <t>Parish Name</t>
  </si>
  <si>
    <t>Acomb</t>
  </si>
  <si>
    <t>Acaster Malbis</t>
  </si>
  <si>
    <t>Acaster Selby</t>
  </si>
  <si>
    <t>Askham Bryan</t>
  </si>
  <si>
    <t>Askham Richard</t>
  </si>
  <si>
    <t>Appleton Roebuck</t>
  </si>
  <si>
    <t>Bishopthorpe</t>
  </si>
  <si>
    <t>Bolton Percy</t>
  </si>
  <si>
    <t>Bootham</t>
  </si>
  <si>
    <t>Castlegate</t>
  </si>
  <si>
    <t>Clifton</t>
  </si>
  <si>
    <t>Clifton Without</t>
  </si>
  <si>
    <t>Colton</t>
  </si>
  <si>
    <t>Companthorpe</t>
  </si>
  <si>
    <t>Deighton</t>
  </si>
  <si>
    <t>Dunnington</t>
  </si>
  <si>
    <t>Earswick</t>
  </si>
  <si>
    <t>Elvington</t>
  </si>
  <si>
    <t>Escrick</t>
  </si>
  <si>
    <t>Fulford</t>
  </si>
  <si>
    <t>Fishergate</t>
  </si>
  <si>
    <t>Guildhall</t>
  </si>
  <si>
    <t>Haxby</t>
  </si>
  <si>
    <t>Heworth</t>
  </si>
  <si>
    <t>Heworth without</t>
  </si>
  <si>
    <t>Heslington</t>
  </si>
  <si>
    <t>Holgate</t>
  </si>
  <si>
    <t>Huntington</t>
  </si>
  <si>
    <t>Kexby</t>
  </si>
  <si>
    <t>Knavesmire</t>
  </si>
  <si>
    <t>Micklegate</t>
  </si>
  <si>
    <t>Monk</t>
  </si>
  <si>
    <t>Murton (Flaxton)</t>
  </si>
  <si>
    <t>Osbaldwick</t>
  </si>
  <si>
    <t>Rawcliffe</t>
  </si>
  <si>
    <t>Scarcroft</t>
  </si>
  <si>
    <t>Skipwith</t>
  </si>
  <si>
    <t>Stillingfleet</t>
  </si>
  <si>
    <t>Skelton</t>
  </si>
  <si>
    <t>Stockton-on-Forest</t>
  </si>
  <si>
    <t>Thorganby</t>
  </si>
  <si>
    <t>Towthorpe</t>
  </si>
  <si>
    <t>Walmgate</t>
  </si>
  <si>
    <t>Wheldrake</t>
  </si>
  <si>
    <t>Wiggington</t>
  </si>
  <si>
    <t>York</t>
  </si>
  <si>
    <t>Return to Intro tab</t>
  </si>
  <si>
    <t>This sheet contains assumptions that model users control to amend bulk supply tariffs</t>
  </si>
  <si>
    <t>Charging year</t>
  </si>
  <si>
    <t>Charges Modelling Year</t>
  </si>
  <si>
    <t>2025-2026</t>
  </si>
  <si>
    <t>Average period for unit cost calculations</t>
  </si>
  <si>
    <t>year</t>
  </si>
  <si>
    <t>Site Characteristics</t>
  </si>
  <si>
    <t>Water or Wastewater?</t>
  </si>
  <si>
    <t>Y/N</t>
  </si>
  <si>
    <t>Network Length</t>
  </si>
  <si>
    <t>Total mains network</t>
  </si>
  <si>
    <t>Minimum allowed mains network length</t>
  </si>
  <si>
    <t>Total sewers network</t>
  </si>
  <si>
    <t>Minimum allowed sewer network length</t>
  </si>
  <si>
    <t>Number of Properties</t>
  </si>
  <si>
    <t>Number of HH properties</t>
  </si>
  <si>
    <t>number</t>
  </si>
  <si>
    <t>Number of NHH properties</t>
  </si>
  <si>
    <t>Total Number of points of connection required</t>
  </si>
  <si>
    <t>Sites Control</t>
  </si>
  <si>
    <t>WACC</t>
  </si>
  <si>
    <t>%</t>
  </si>
  <si>
    <t>Leakage</t>
  </si>
  <si>
    <t>Site specific?</t>
  </si>
  <si>
    <t>boolean</t>
  </si>
  <si>
    <t>Leakage assumption if not site specific</t>
  </si>
  <si>
    <t>Leakage losses</t>
  </si>
  <si>
    <t>multiplier</t>
  </si>
  <si>
    <t>Leakage cap</t>
  </si>
  <si>
    <t>Sewerage rate</t>
  </si>
  <si>
    <t>Network density floor</t>
  </si>
  <si>
    <t>m/prop</t>
  </si>
  <si>
    <t>Typical Sites Controls</t>
  </si>
  <si>
    <t>Approach to avoided cost estimates</t>
  </si>
  <si>
    <t>Correlation</t>
  </si>
  <si>
    <t>Flag</t>
  </si>
  <si>
    <t>Average Network Length</t>
  </si>
  <si>
    <t>Average Density</t>
  </si>
  <si>
    <t>Number of properties threshold</t>
  </si>
  <si>
    <t>Typical Site 1</t>
  </si>
  <si>
    <t>#</t>
  </si>
  <si>
    <t>Typical Site 2</t>
  </si>
  <si>
    <t>Typical Site 3</t>
  </si>
  <si>
    <t>OUTPUTS</t>
  </si>
  <si>
    <t>Charge</t>
  </si>
  <si>
    <t>Unit</t>
  </si>
  <si>
    <t>Water</t>
  </si>
  <si>
    <t>Wastewater</t>
  </si>
  <si>
    <t>Surface Water Drainage</t>
  </si>
  <si>
    <t>Yorkshire Water area</t>
  </si>
  <si>
    <t>Households</t>
  </si>
  <si>
    <t>Volumetric</t>
  </si>
  <si>
    <t>Fixed</t>
  </si>
  <si>
    <t>£/prop</t>
  </si>
  <si>
    <t>Non-Households</t>
  </si>
  <si>
    <t>Consumption &lt;50Mla</t>
  </si>
  <si>
    <t>Consumption &lt;250Mla</t>
  </si>
  <si>
    <t>Consumption &gt;250Mla</t>
  </si>
  <si>
    <t>-</t>
  </si>
  <si>
    <t>York Waterworks area</t>
  </si>
  <si>
    <t>Avoided costs</t>
  </si>
  <si>
    <t>Menu A</t>
  </si>
  <si>
    <t>Menu B</t>
  </si>
  <si>
    <t>Menu C</t>
  </si>
  <si>
    <t>Bespoke avoided cost</t>
  </si>
  <si>
    <t>£/prop pa</t>
  </si>
  <si>
    <t>Wastewater operational costs</t>
  </si>
  <si>
    <t>Site specific</t>
  </si>
  <si>
    <t>Business overheads</t>
  </si>
  <si>
    <t>Asset replacement</t>
  </si>
  <si>
    <t>Total avoided costs</t>
  </si>
  <si>
    <t>TBC</t>
  </si>
  <si>
    <t>Bulk supply tariff</t>
  </si>
  <si>
    <t>Leakage adjustment assumption</t>
  </si>
  <si>
    <t>Volumetric , leakage adjusted - households</t>
  </si>
  <si>
    <t>Yorkshire</t>
  </si>
  <si>
    <t>Volumetric , leakage adjusted - non-households</t>
  </si>
  <si>
    <t>Wholesale Fixed</t>
  </si>
  <si>
    <t>Fixed bulk supply tariff</t>
  </si>
  <si>
    <t>Site characteristics</t>
  </si>
  <si>
    <t>Bulk Water Supply:</t>
  </si>
  <si>
    <t>Bulk Wastewater Supply:</t>
  </si>
  <si>
    <t>Total mains network:</t>
  </si>
  <si>
    <t>Total sewers network:</t>
  </si>
  <si>
    <t>Annual HH water demand incl leakage</t>
  </si>
  <si>
    <t>Annual NHH water demand incl leakage</t>
  </si>
  <si>
    <t>Annual HH wastewater discharge</t>
  </si>
  <si>
    <t>Annual NHH wastewater discharge</t>
  </si>
  <si>
    <t>Typical sites categorisation</t>
  </si>
  <si>
    <t># properties</t>
  </si>
  <si>
    <t>Margin comparison across sites categories</t>
  </si>
  <si>
    <t>Site-specific</t>
  </si>
  <si>
    <t>Bulk Water Supply Tariff</t>
  </si>
  <si>
    <t>Volumetric charges</t>
  </si>
  <si>
    <t>Avoided cost discounted fixed charge</t>
  </si>
  <si>
    <t>End consumer charges</t>
  </si>
  <si>
    <t xml:space="preserve">Bulk supply 'price' for site </t>
  </si>
  <si>
    <t>Effective discount</t>
  </si>
  <si>
    <t>Bulk Wastewater Discharge Tariff</t>
  </si>
  <si>
    <t>Volumetric wastewater bulk supply tariff - leakage adjusted</t>
  </si>
  <si>
    <t>Volumetric charge</t>
  </si>
  <si>
    <t>Margin comparison - live</t>
  </si>
  <si>
    <t xml:space="preserve">Equivalent 'Typical Site' </t>
  </si>
  <si>
    <t>% difference</t>
  </si>
  <si>
    <t>CALCULATIONS</t>
  </si>
  <si>
    <t>Relevant Starting Point</t>
  </si>
  <si>
    <t>Volumetric weighted average</t>
  </si>
  <si>
    <t xml:space="preserve">Ongoing </t>
  </si>
  <si>
    <t>Indirects</t>
  </si>
  <si>
    <t>Additional</t>
  </si>
  <si>
    <t>Capital Maintenance</t>
  </si>
  <si>
    <t>Bulk Tariffs</t>
  </si>
  <si>
    <t>Water Supply</t>
  </si>
  <si>
    <t>Wastewater discharge</t>
  </si>
  <si>
    <t>General</t>
  </si>
  <si>
    <t>Unit Costs</t>
  </si>
  <si>
    <t>Meter and Meter chamber</t>
  </si>
  <si>
    <t>£/unit</t>
  </si>
  <si>
    <t>Communication pipes</t>
  </si>
  <si>
    <t>£/m</t>
  </si>
  <si>
    <t>Stop taps</t>
  </si>
  <si>
    <t>Water mains</t>
  </si>
  <si>
    <t>Furniture Water</t>
  </si>
  <si>
    <t>Furniture Wastewater (Manhole covers)</t>
  </si>
  <si>
    <t>Sewers</t>
  </si>
  <si>
    <t>Asset Life</t>
  </si>
  <si>
    <t>yr</t>
  </si>
  <si>
    <t>Network Density</t>
  </si>
  <si>
    <t>Sewerage</t>
  </si>
  <si>
    <t>Calculations</t>
  </si>
  <si>
    <t>Adjustment Factors per Property</t>
  </si>
  <si>
    <t>Water Mains</t>
  </si>
  <si>
    <t>factor</t>
  </si>
  <si>
    <t>Fair Value</t>
  </si>
  <si>
    <t>Fair Value Annuity Factor</t>
  </si>
  <si>
    <t>Index</t>
  </si>
  <si>
    <t>Total</t>
  </si>
  <si>
    <t>Scientific services</t>
  </si>
  <si>
    <t>Emergency response</t>
  </si>
  <si>
    <t>Water Operational costs</t>
  </si>
  <si>
    <t>Sewerage Operational costs</t>
  </si>
  <si>
    <t>Leakage management</t>
  </si>
  <si>
    <t>Number of properties</t>
  </si>
  <si>
    <t>HH</t>
  </si>
  <si>
    <t xml:space="preserve">number </t>
  </si>
  <si>
    <t>NHH</t>
  </si>
  <si>
    <t>Consumption</t>
  </si>
  <si>
    <t>Floor to network density</t>
  </si>
  <si>
    <t xml:space="preserve">Typical site analysis </t>
  </si>
  <si>
    <t>Active?</t>
  </si>
  <si>
    <t>Leakage if not site specific</t>
  </si>
  <si>
    <t>Uncapped</t>
  </si>
  <si>
    <t>Capped</t>
  </si>
  <si>
    <t>Operational Avoided Costs</t>
  </si>
  <si>
    <t>Business Overheads</t>
  </si>
  <si>
    <t>Leakage assumption</t>
  </si>
  <si>
    <t>Annual losses</t>
  </si>
  <si>
    <t>m3/yr</t>
  </si>
  <si>
    <t>Total input water</t>
  </si>
  <si>
    <t>Sewer operational costs</t>
  </si>
  <si>
    <t>Type of Site</t>
  </si>
  <si>
    <t>York?</t>
  </si>
  <si>
    <t># prop</t>
  </si>
  <si>
    <t>Demand</t>
  </si>
  <si>
    <t>Wholesale Charges</t>
  </si>
  <si>
    <t>Household</t>
  </si>
  <si>
    <t>Non-household charge</t>
  </si>
  <si>
    <t>Annual consumption &lt;50 Mla</t>
  </si>
  <si>
    <t>Annual consumption between 50-250 Mla</t>
  </si>
  <si>
    <t>Annual consumption between &gt;250 Mla</t>
  </si>
  <si>
    <t>Total Volume</t>
  </si>
  <si>
    <t>Annual Wastewater Discharge</t>
  </si>
  <si>
    <t>NH</t>
  </si>
  <si>
    <t>Total Charges</t>
  </si>
  <si>
    <t>£/yr</t>
  </si>
  <si>
    <t>Charge 0 -50</t>
  </si>
  <si>
    <t>Charge 50-250</t>
  </si>
  <si>
    <t>Charge &gt;250</t>
  </si>
  <si>
    <t>Total Charge</t>
  </si>
  <si>
    <t>Site</t>
  </si>
  <si>
    <t>Total Wholesale charge</t>
  </si>
  <si>
    <t>Weighted average rate</t>
  </si>
  <si>
    <t>Fixed rate</t>
  </si>
  <si>
    <t>INPUTS</t>
  </si>
  <si>
    <t>Item</t>
  </si>
  <si>
    <t>Units</t>
  </si>
  <si>
    <t>2015-2016</t>
  </si>
  <si>
    <t>2016-2017</t>
  </si>
  <si>
    <t>2017-2018</t>
  </si>
  <si>
    <t>2018-2019</t>
  </si>
  <si>
    <t>2019-2020</t>
  </si>
  <si>
    <t>2020-2021</t>
  </si>
  <si>
    <t>2021-2022</t>
  </si>
  <si>
    <t>2022-2023</t>
  </si>
  <si>
    <t>2023-2024</t>
  </si>
  <si>
    <t>2024-2025</t>
  </si>
  <si>
    <t>2026-2027</t>
  </si>
  <si>
    <t>2027-2028</t>
  </si>
  <si>
    <t>Source: BSP model NAVs - v06 (Cap) - NAV user version - draft - 2023-24, wholesale charges tab</t>
  </si>
  <si>
    <t>Measured Water and Wastewater charges (excl. York Waterworks)</t>
  </si>
  <si>
    <t>Non-household</t>
  </si>
  <si>
    <t>Standard Tariff 0-5</t>
  </si>
  <si>
    <t>Standard Tariff 5-50</t>
  </si>
  <si>
    <t>Banded Tariff &lt;50 Mla</t>
  </si>
  <si>
    <t>Banded Tariff &gt;50 &amp; &lt;=250 Mla</t>
  </si>
  <si>
    <t>Banded Tariff &gt;250 Mla</t>
  </si>
  <si>
    <t>Surface Water Drainage Fixed charge (Band A – Up to 500m2)</t>
  </si>
  <si>
    <t>Fixed Charge</t>
  </si>
  <si>
    <t>Volumetric Charge</t>
  </si>
  <si>
    <t>Surface Water Drainage Fixed charge</t>
  </si>
  <si>
    <t xml:space="preserve">York Waterworks Measured Water and Wastewater Charges </t>
  </si>
  <si>
    <t>3</t>
  </si>
  <si>
    <t>Update to correct 'Relevent starting point' cell K73, incorrectly referenced cell K59 instead of K60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</si>
</sst>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0\);&quot;-  &quot;;&quot; &quot;@&quot; &quot;"/>
    <numFmt numFmtId="165" formatCode="0.00%_);\-0.00%_);&quot;-  &quot;;&quot; &quot;@&quot; &quot;"/>
    <numFmt numFmtId="166" formatCode="#,##0.0;[Red]\-#,##0.0;&quot;-&quot;_0;&quot; &quot;@&quot; &quot;"/>
    <numFmt numFmtId="167" formatCode="0.0%;[Red]\-0.0%;&quot;-&quot;_0;&quot; &quot;@&quot; &quot;"/>
    <numFmt numFmtId="168" formatCode="0_ ;[Red]\-0\ "/>
    <numFmt numFmtId="169" formatCode="#,##0_ ;[Red]\-#,##0\ "/>
    <numFmt numFmtId="170" formatCode="yyyy"/>
    <numFmt numFmtId="171" formatCode="#,##0.00;[Red]\-#,##0.00;&quot;-&quot;_00;&quot; &quot;@&quot; &quot;"/>
    <numFmt numFmtId="172" formatCode="#,##0.00;[Red]\-#,##0.00;&quot;-&quot;_0_0;@"/>
    <numFmt numFmtId="173" formatCode="#,##0.00;[Red]\-#,##0.00;&quot;-&quot;_0;&quot; &quot;@&quot; &quot;"/>
    <numFmt numFmtId="174" formatCode="0.00%;[Red]\-0.00%;&quot;-&quot;_0;&quot; &quot;@&quot; &quot;"/>
    <numFmt numFmtId="175" formatCode="#,##0;[Red]\-#,##0;&quot;-&quot;_0;&quot; &quot;@&quot; &quot;"/>
    <numFmt numFmtId="176" formatCode="#,##0.000;[Red]\-#,##0.000;&quot;-&quot;_0;&quot; &quot;@&quot; &quot;"/>
    <numFmt numFmtId="177" formatCode="#,##0;[Red]\-#,##0;&quot;-&quot;_0_0;@"/>
    <numFmt numFmtId="178" formatCode="#,##0.0000;[Red]\-#,##0.0000;&quot;-&quot;_0_0;@"/>
  </numFmts>
  <fonts count="53" x14ac:knownFonts="1">
    <font>
      <sz val="10"/>
      <color theme="1"/>
      <name val="Arial Nova"/>
      <family val="2"/>
      <scheme val="minor"/>
    </font>
    <font>
      <sz val="11"/>
      <color theme="1"/>
      <name val="Arial Nova"/>
      <family val="2"/>
      <scheme val="minor"/>
    </font>
    <font>
      <sz val="18"/>
      <color theme="3"/>
      <name val="Rockwell Nova"/>
      <family val="2"/>
      <scheme val="major"/>
    </font>
    <font>
      <sz val="10"/>
      <name val="Arial Nova"/>
      <family val="2"/>
      <scheme val="minor"/>
    </font>
    <font>
      <u/>
      <sz val="10"/>
      <color rgb="FFC00000"/>
      <name val="Arial Nova"/>
      <family val="2"/>
      <scheme val="minor"/>
    </font>
    <font>
      <sz val="10"/>
      <color theme="0"/>
      <name val="Arial Nova"/>
      <family val="2"/>
      <scheme val="minor"/>
    </font>
    <font>
      <b/>
      <sz val="10"/>
      <color theme="0"/>
      <name val="Arial"/>
      <family val="2"/>
    </font>
    <font>
      <sz val="8"/>
      <name val="Arial Nova"/>
      <family val="2"/>
      <scheme val="minor"/>
    </font>
    <font>
      <sz val="10"/>
      <name val="Arial Nova"/>
      <family val="2"/>
    </font>
    <font>
      <b/>
      <sz val="22"/>
      <color theme="0"/>
      <name val="Rockwell Nova"/>
      <family val="2"/>
      <scheme val="major"/>
    </font>
    <font>
      <i/>
      <sz val="10"/>
      <color theme="1" tint="0.34998626667073579"/>
      <name val="Arial Nova"/>
      <family val="2"/>
      <scheme val="minor"/>
    </font>
    <font>
      <i/>
      <sz val="10"/>
      <color theme="0" tint="-0.499984740745262"/>
      <name val="Arial Nova"/>
      <family val="2"/>
      <scheme val="minor"/>
    </font>
    <font>
      <sz val="10"/>
      <color theme="1"/>
      <name val="Arial Nova"/>
      <family val="2"/>
      <scheme val="minor"/>
    </font>
    <font>
      <b/>
      <sz val="10"/>
      <color theme="1"/>
      <name val="Arial Nova"/>
      <family val="2"/>
      <scheme val="minor"/>
    </font>
    <font>
      <b/>
      <sz val="10"/>
      <color theme="3"/>
      <name val="Arial Nova"/>
      <family val="2"/>
      <scheme val="minor"/>
    </font>
    <font>
      <sz val="8"/>
      <color rgb="FF3F3F76"/>
      <name val="Arial Nova"/>
      <family val="2"/>
      <scheme val="minor"/>
    </font>
    <font>
      <sz val="10"/>
      <color rgb="FFFA7D00"/>
      <name val="Arial Nova"/>
      <family val="2"/>
      <scheme val="minor"/>
    </font>
    <font>
      <b/>
      <sz val="10"/>
      <color theme="0"/>
      <name val="Arial Nova"/>
      <family val="2"/>
      <scheme val="minor"/>
    </font>
    <font>
      <u/>
      <sz val="10"/>
      <color theme="2"/>
      <name val="Arial Nova"/>
      <family val="2"/>
      <scheme val="minor"/>
    </font>
    <font>
      <i/>
      <sz val="10"/>
      <color theme="1"/>
      <name val="Arial Nova"/>
      <family val="2"/>
      <scheme val="minor"/>
    </font>
    <font>
      <sz val="12"/>
      <color theme="0" tint="-0.499984740745262"/>
      <name val="Rockwell Nova"/>
      <family val="2"/>
      <scheme val="major"/>
    </font>
    <font>
      <b/>
      <sz val="10"/>
      <color theme="2"/>
      <name val="Arial Nova"/>
      <family val="2"/>
      <scheme val="minor"/>
    </font>
    <font>
      <b/>
      <sz val="14"/>
      <color theme="0"/>
      <name val="Arial Nova"/>
      <family val="2"/>
      <scheme val="minor"/>
    </font>
    <font>
      <sz val="10"/>
      <color rgb="FF0070C0"/>
      <name val="Arial Nova"/>
      <family val="2"/>
      <scheme val="minor"/>
    </font>
    <font>
      <sz val="10"/>
      <color rgb="FF00863D"/>
      <name val="Arial Nova"/>
      <family val="2"/>
      <scheme val="minor"/>
    </font>
    <font>
      <sz val="10"/>
      <color rgb="FFFF0000"/>
      <name val="Arial Nova"/>
      <family val="2"/>
      <scheme val="minor"/>
    </font>
    <font>
      <b/>
      <u/>
      <sz val="10"/>
      <color theme="5" tint="-0.24994659260841701"/>
      <name val="Arial Nova"/>
      <family val="2"/>
      <scheme val="minor"/>
    </font>
    <font>
      <sz val="18"/>
      <name val="Arial"/>
      <family val="2"/>
    </font>
    <font>
      <b/>
      <sz val="8"/>
      <color rgb="FFFFFFFF"/>
      <name val="Arial Nova"/>
      <family val="2"/>
    </font>
    <font>
      <b/>
      <sz val="8"/>
      <color rgb="FF002776"/>
      <name val="Arial Nova"/>
      <family val="2"/>
    </font>
    <font>
      <sz val="8"/>
      <color rgb="FF002776"/>
      <name val="Arial Nova"/>
      <family val="2"/>
    </font>
    <font>
      <sz val="8"/>
      <name val="Arial"/>
      <family val="2"/>
    </font>
    <font>
      <b/>
      <sz val="8"/>
      <color theme="2"/>
      <name val="Arial Nova"/>
      <family val="2"/>
      <scheme val="minor"/>
    </font>
    <font>
      <sz val="8"/>
      <color theme="1"/>
      <name val="Arial Nova"/>
      <family val="2"/>
      <scheme val="minor"/>
    </font>
    <font>
      <b/>
      <sz val="10"/>
      <name val="Arial Nova"/>
      <family val="2"/>
      <scheme val="minor"/>
    </font>
    <font>
      <b/>
      <sz val="10"/>
      <color rgb="FF00863D"/>
      <name val="Arial Nova"/>
      <family val="2"/>
      <scheme val="minor"/>
    </font>
    <font>
      <u/>
      <sz val="10"/>
      <color theme="1"/>
      <name val="Arial Nova"/>
      <family val="2"/>
      <scheme val="minor"/>
    </font>
    <font>
      <b/>
      <sz val="10"/>
      <color rgb="FFFF0000"/>
      <name val="Arial Nova"/>
      <family val="2"/>
      <scheme val="minor"/>
    </font>
    <font>
      <sz val="11"/>
      <color rgb="FF000000"/>
      <name val="Arial Nova"/>
      <family val="2"/>
      <scheme val="minor"/>
    </font>
    <font>
      <b/>
      <sz val="11"/>
      <color rgb="FFFFFFFF"/>
      <name val="Arial Nova"/>
      <family val="2"/>
      <scheme val="minor"/>
    </font>
    <font>
      <sz val="11"/>
      <color rgb="FF002776"/>
      <name val="Arial Nova"/>
      <family val="2"/>
      <scheme val="minor"/>
    </font>
    <font>
      <b/>
      <sz val="10"/>
      <color rgb="FFFF0000"/>
      <name val="Arial"/>
      <family val="2"/>
    </font>
    <font>
      <sz val="10"/>
      <color theme="0" tint="-0.34998626667073579"/>
      <name val="Arial Nova"/>
      <family val="2"/>
      <scheme val="minor"/>
    </font>
    <font>
      <sz val="11"/>
      <color rgb="FF000000"/>
      <name val="Calibri"/>
      <family val="2"/>
    </font>
    <font>
      <b/>
      <sz val="11"/>
      <color rgb="FF000000"/>
      <name val="Poppins"/>
    </font>
    <font>
      <b/>
      <sz val="11"/>
      <color rgb="FF000000"/>
      <name val="Calibri"/>
      <family val="2"/>
    </font>
    <font>
      <sz val="10"/>
      <color theme="2" tint="-0.249977111117893"/>
      <name val="Arial Nova"/>
      <family val="2"/>
      <scheme val="minor"/>
    </font>
    <font>
      <i/>
      <sz val="10"/>
      <color theme="4"/>
      <name val="Arial Nova"/>
      <family val="2"/>
      <scheme val="minor"/>
    </font>
    <font>
      <b/>
      <sz val="10"/>
      <color theme="4"/>
      <name val="Arial Nova"/>
      <family val="2"/>
      <scheme val="minor"/>
    </font>
    <font>
      <sz val="10"/>
      <color theme="4"/>
      <name val="Arial Nova"/>
      <family val="2"/>
      <scheme val="minor"/>
    </font>
    <font>
      <sz val="10"/>
      <color theme="3" tint="0.39997558519241921"/>
      <name val="Arial Nova"/>
      <family val="2"/>
      <scheme val="minor"/>
    </font>
    <font>
      <sz val="10"/>
      <color rgb="FFC00000"/>
      <name val="Arial Nova"/>
      <family val="2"/>
      <scheme val="minor"/>
    </font>
    <font>
      <b/>
      <sz val="8"/>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theme="2" tint="0.79998168889431442"/>
        <bgColor indexed="64"/>
      </patternFill>
    </fill>
    <fill>
      <patternFill patternType="solid">
        <fgColor theme="8"/>
        <bgColor indexed="64"/>
      </patternFill>
    </fill>
    <fill>
      <patternFill patternType="solid">
        <fgColor theme="3"/>
        <bgColor indexed="64"/>
      </patternFill>
    </fill>
    <fill>
      <patternFill patternType="solid">
        <fgColor rgb="FFFFCC99"/>
      </patternFill>
    </fill>
    <fill>
      <patternFill patternType="solid">
        <fgColor theme="2"/>
        <bgColor indexed="64"/>
      </patternFill>
    </fill>
    <fill>
      <patternFill patternType="solid">
        <fgColor theme="0" tint="-0.499984740745262"/>
        <bgColor theme="0" tint="-0.34998626667073579"/>
      </patternFill>
    </fill>
    <fill>
      <patternFill patternType="solid">
        <fgColor theme="6"/>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rgb="FF002776"/>
        <bgColor indexed="64"/>
      </patternFill>
    </fill>
    <fill>
      <patternFill patternType="solid">
        <fgColor rgb="FF5A85D7"/>
        <bgColor indexed="64"/>
      </patternFill>
    </fill>
    <fill>
      <patternFill patternType="solid">
        <fgColor rgb="FFB1CBFF"/>
        <bgColor indexed="64"/>
      </patternFill>
    </fill>
    <fill>
      <patternFill patternType="solid">
        <fgColor rgb="FFE7E8EC"/>
        <bgColor indexed="64"/>
      </patternFill>
    </fill>
    <fill>
      <patternFill patternType="darkUp">
        <fgColor theme="0"/>
        <bgColor theme="0" tint="-0.34998626667073579"/>
      </patternFill>
    </fill>
    <fill>
      <patternFill patternType="solid">
        <fgColor theme="4" tint="0.79995117038483843"/>
        <bgColor theme="8" tint="0.59996337778862885"/>
      </patternFill>
    </fill>
    <fill>
      <patternFill patternType="solid">
        <fgColor rgb="FF009AA6"/>
        <bgColor indexed="64"/>
      </patternFill>
    </fill>
    <fill>
      <patternFill patternType="solid">
        <fgColor rgb="FF930A06"/>
        <bgColor indexed="64"/>
      </patternFill>
    </fill>
    <fill>
      <patternFill patternType="solid">
        <fgColor rgb="FF002776"/>
        <bgColor rgb="FF000000"/>
      </patternFill>
    </fill>
    <fill>
      <patternFill patternType="solid">
        <fgColor theme="8" tint="-0.249977111117893"/>
        <bgColor indexed="64"/>
      </patternFill>
    </fill>
    <fill>
      <patternFill patternType="solid">
        <fgColor theme="8" tint="0.59999389629810485"/>
        <bgColor indexed="64"/>
      </patternFill>
    </fill>
    <fill>
      <patternFill patternType="solid">
        <fgColor rgb="FFC3DBEE"/>
        <bgColor indexed="64"/>
      </patternFill>
    </fill>
    <fill>
      <patternFill patternType="solid">
        <fgColor rgb="FF00B0F0"/>
        <bgColor indexed="64"/>
      </patternFill>
    </fill>
    <fill>
      <patternFill patternType="solid">
        <fgColor rgb="FF92D050"/>
        <bgColor indexed="64"/>
      </patternFill>
    </fill>
    <fill>
      <patternFill patternType="solid">
        <fgColor rgb="FFB8D7A1"/>
        <bgColor indexed="64"/>
      </patternFill>
    </fill>
    <fill>
      <patternFill patternType="solid">
        <fgColor theme="5" tint="0.59999389629810485"/>
        <bgColor indexed="64"/>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n">
        <color auto="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3"/>
      </top>
      <bottom style="thin">
        <color theme="3"/>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medium">
        <color rgb="FF002776"/>
      </left>
      <right/>
      <top style="medium">
        <color rgb="FF002776"/>
      </top>
      <bottom style="medium">
        <color rgb="FF002776"/>
      </bottom>
      <diagonal/>
    </border>
    <border>
      <left/>
      <right/>
      <top style="medium">
        <color rgb="FF002776"/>
      </top>
      <bottom style="medium">
        <color rgb="FF002776"/>
      </bottom>
      <diagonal/>
    </border>
    <border>
      <left/>
      <right style="medium">
        <color rgb="FF002776"/>
      </right>
      <top style="medium">
        <color rgb="FF002776"/>
      </top>
      <bottom style="medium">
        <color rgb="FF002776"/>
      </bottom>
      <diagonal/>
    </border>
    <border>
      <left style="thin">
        <color theme="0" tint="-0.24994659260841701"/>
      </left>
      <right style="thin">
        <color theme="0" tint="-0.24994659260841701"/>
      </right>
      <top style="thin">
        <color theme="0" tint="-0.24994659260841701"/>
      </top>
      <bottom/>
      <diagonal/>
    </border>
    <border>
      <left style="thin">
        <color theme="0" tint="-4.9989318521683403E-2"/>
      </left>
      <right style="thin">
        <color theme="0" tint="-4.9989318521683403E-2"/>
      </right>
      <top style="thin">
        <color theme="0" tint="-4.9989318521683403E-2"/>
      </top>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3"/>
      </left>
      <right style="thin">
        <color theme="3"/>
      </right>
      <top style="thin">
        <color theme="3"/>
      </top>
      <bottom style="thin">
        <color theme="3"/>
      </bottom>
      <diagonal/>
    </border>
    <border>
      <left style="thin">
        <color theme="3" tint="0.79998168889431442"/>
      </left>
      <right style="thin">
        <color theme="3" tint="0.79998168889431442"/>
      </right>
      <top/>
      <bottom style="thin">
        <color theme="3" tint="0.79998168889431442"/>
      </bottom>
      <diagonal/>
    </border>
    <border>
      <left style="thin">
        <color theme="3" tint="0.79998168889431442"/>
      </left>
      <right style="thin">
        <color theme="3" tint="0.79998168889431442"/>
      </right>
      <top style="thin">
        <color theme="3" tint="0.79998168889431442"/>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32">
    <xf numFmtId="172" fontId="0" fillId="0" borderId="0" applyFont="0" applyFill="0" applyBorder="0" applyProtection="0">
      <alignment vertical="top"/>
    </xf>
    <xf numFmtId="43" fontId="1" fillId="0" borderId="0" applyFont="0" applyFill="0" applyBorder="0" applyAlignment="0" applyProtection="0"/>
    <xf numFmtId="165" fontId="1" fillId="0" borderId="0" applyFont="0" applyFill="0" applyBorder="0" applyProtection="0">
      <alignment vertical="top"/>
    </xf>
    <xf numFmtId="0" fontId="2" fillId="0" borderId="0" applyNumberFormat="0" applyFill="0" applyBorder="0" applyAlignment="0" applyProtection="0"/>
    <xf numFmtId="0" fontId="17" fillId="5" borderId="0" applyNumberFormat="0" applyProtection="0">
      <alignment horizontal="left" vertical="center"/>
    </xf>
    <xf numFmtId="0" fontId="14" fillId="0" borderId="0" applyNumberFormat="0" applyProtection="0">
      <alignment horizontal="left" vertical="center"/>
    </xf>
    <xf numFmtId="0" fontId="21" fillId="0" borderId="0" applyNumberFormat="0" applyFill="0" applyBorder="0" applyProtection="0">
      <alignment horizontal="left"/>
    </xf>
    <xf numFmtId="173" fontId="12" fillId="12" borderId="7" applyAlignment="0" applyProtection="0"/>
    <xf numFmtId="0" fontId="25" fillId="0" borderId="0" applyNumberFormat="0" applyFill="0" applyBorder="0" applyAlignment="0" applyProtection="0"/>
    <xf numFmtId="0" fontId="10" fillId="0" borderId="0" applyNumberFormat="0" applyFill="0" applyBorder="0" applyAlignment="0" applyProtection="0"/>
    <xf numFmtId="0" fontId="3" fillId="18" borderId="0" applyNumberFormat="0" applyFont="0" applyAlignment="0" applyProtection="0"/>
    <xf numFmtId="166" fontId="12" fillId="13" borderId="2" applyNumberFormat="0" applyAlignment="0">
      <protection locked="0"/>
    </xf>
    <xf numFmtId="166" fontId="3" fillId="3" borderId="3" applyNumberFormat="0" applyAlignment="0">
      <alignment horizontal="center"/>
      <protection locked="0"/>
    </xf>
    <xf numFmtId="166" fontId="3" fillId="19" borderId="22" applyNumberFormat="0" applyAlignment="0" applyProtection="0"/>
    <xf numFmtId="0" fontId="23" fillId="0" borderId="7" applyNumberFormat="0" applyFill="0" applyAlignment="0" applyProtection="0"/>
    <xf numFmtId="0" fontId="6" fillId="7" borderId="0" applyAlignment="0" applyProtection="0"/>
    <xf numFmtId="0" fontId="15" fillId="6" borderId="1" applyNumberFormat="0" applyAlignment="0" applyProtection="0"/>
    <xf numFmtId="0" fontId="22" fillId="5" borderId="0" applyAlignment="0" applyProtection="0"/>
    <xf numFmtId="0" fontId="5" fillId="8" borderId="0" applyNumberFormat="0" applyProtection="0">
      <alignment horizontal="left"/>
    </xf>
    <xf numFmtId="164" fontId="5" fillId="0" borderId="4" applyNumberFormat="0" applyProtection="0">
      <alignment vertical="top" shrinkToFit="1"/>
    </xf>
    <xf numFmtId="0" fontId="13" fillId="0" borderId="8" applyNumberFormat="0" applyFill="0" applyAlignment="0" applyProtection="0"/>
    <xf numFmtId="0" fontId="16" fillId="0" borderId="5" applyNumberFormat="0" applyFill="0" applyAlignment="0" applyProtection="0"/>
    <xf numFmtId="0" fontId="12" fillId="10" borderId="6" applyNumberFormat="0" applyFont="0" applyAlignment="0" applyProtection="0"/>
    <xf numFmtId="0" fontId="26" fillId="0" borderId="0" applyNumberFormat="0" applyFill="0" applyBorder="0" applyAlignment="0" applyProtection="0"/>
    <xf numFmtId="41"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0" fontId="18" fillId="0" borderId="0" applyNumberFormat="0" applyFill="0" applyBorder="0" applyAlignment="0" applyProtection="0">
      <alignment vertical="top"/>
    </xf>
    <xf numFmtId="167" fontId="12" fillId="0" borderId="0" applyFont="0" applyFill="0" applyBorder="0" applyProtection="0">
      <alignment vertical="top"/>
    </xf>
    <xf numFmtId="0" fontId="11" fillId="11" borderId="7" applyNumberFormat="0" applyAlignment="0" applyProtection="0"/>
    <xf numFmtId="0" fontId="3" fillId="11" borderId="7" applyNumberFormat="0" applyAlignment="0" applyProtection="0"/>
    <xf numFmtId="0" fontId="24" fillId="0" borderId="7" applyNumberFormat="0" applyFill="0" applyAlignment="0" applyProtection="0"/>
  </cellStyleXfs>
  <cellXfs count="417">
    <xf numFmtId="172" fontId="0" fillId="0" borderId="0" xfId="0">
      <alignment vertical="top"/>
    </xf>
    <xf numFmtId="0" fontId="5" fillId="8" borderId="0" xfId="18">
      <alignment horizontal="left"/>
    </xf>
    <xf numFmtId="170" fontId="6" fillId="7" borderId="0" xfId="15" applyNumberFormat="1"/>
    <xf numFmtId="0" fontId="14" fillId="0" borderId="0" xfId="5">
      <alignment horizontal="left" vertical="center"/>
    </xf>
    <xf numFmtId="166" fontId="0" fillId="0" borderId="0" xfId="0" applyNumberFormat="1" applyAlignment="1">
      <alignment horizontal="left"/>
    </xf>
    <xf numFmtId="0" fontId="10" fillId="0" borderId="0" xfId="9"/>
    <xf numFmtId="0" fontId="10" fillId="0" borderId="0" xfId="9" applyAlignment="1">
      <alignment horizontal="right"/>
    </xf>
    <xf numFmtId="166" fontId="8" fillId="0" borderId="0" xfId="0" applyNumberFormat="1" applyFont="1">
      <alignment vertical="top"/>
    </xf>
    <xf numFmtId="166" fontId="0" fillId="0" borderId="0" xfId="0" applyNumberFormat="1">
      <alignment vertical="top"/>
    </xf>
    <xf numFmtId="166" fontId="0" fillId="0" borderId="0" xfId="0" applyNumberFormat="1" applyAlignment="1">
      <alignment horizontal="center"/>
    </xf>
    <xf numFmtId="0" fontId="10" fillId="0" borderId="0" xfId="9" applyAlignment="1">
      <alignment horizontal="center"/>
    </xf>
    <xf numFmtId="0" fontId="22" fillId="5" borderId="0" xfId="17" applyAlignment="1">
      <alignment horizontal="left" vertical="center"/>
    </xf>
    <xf numFmtId="0" fontId="22" fillId="5" borderId="0" xfId="17" applyAlignment="1">
      <alignment horizontal="right"/>
    </xf>
    <xf numFmtId="0" fontId="22" fillId="5" borderId="0" xfId="17" applyAlignment="1">
      <alignment vertical="top"/>
    </xf>
    <xf numFmtId="164" fontId="5" fillId="8" borderId="0" xfId="18" applyNumberFormat="1">
      <alignment horizontal="left"/>
    </xf>
    <xf numFmtId="0" fontId="17" fillId="5" borderId="0" xfId="4">
      <alignment horizontal="left" vertical="center"/>
    </xf>
    <xf numFmtId="164" fontId="5" fillId="0" borderId="4" xfId="19">
      <alignment vertical="top" shrinkToFit="1"/>
    </xf>
    <xf numFmtId="164" fontId="4" fillId="0" borderId="0" xfId="0" applyNumberFormat="1" applyFont="1">
      <alignment vertical="top"/>
    </xf>
    <xf numFmtId="172" fontId="9" fillId="9" borderId="0" xfId="0" applyFont="1" applyFill="1">
      <alignment vertical="top"/>
    </xf>
    <xf numFmtId="166" fontId="0" fillId="9" borderId="0" xfId="0" applyNumberFormat="1" applyFill="1">
      <alignment vertical="top"/>
    </xf>
    <xf numFmtId="172" fontId="9" fillId="4" borderId="0" xfId="0" applyFont="1" applyFill="1">
      <alignment vertical="top"/>
    </xf>
    <xf numFmtId="166" fontId="9" fillId="7" borderId="0" xfId="0" applyNumberFormat="1" applyFont="1" applyFill="1">
      <alignment vertical="top"/>
    </xf>
    <xf numFmtId="166" fontId="0" fillId="7" borderId="0" xfId="0" applyNumberFormat="1" applyFill="1">
      <alignment vertical="top"/>
    </xf>
    <xf numFmtId="0" fontId="6" fillId="7" borderId="0" xfId="15"/>
    <xf numFmtId="0" fontId="6" fillId="7" borderId="0" xfId="15" applyAlignment="1">
      <alignment horizontal="left"/>
    </xf>
    <xf numFmtId="166" fontId="10" fillId="0" borderId="0" xfId="0" applyNumberFormat="1" applyFont="1">
      <alignment vertical="top"/>
    </xf>
    <xf numFmtId="166" fontId="21" fillId="0" borderId="0" xfId="6" applyNumberFormat="1">
      <alignment horizontal="left"/>
    </xf>
    <xf numFmtId="169" fontId="0" fillId="0" borderId="0" xfId="0" applyNumberFormat="1">
      <alignment vertical="top"/>
    </xf>
    <xf numFmtId="168" fontId="0" fillId="0" borderId="0" xfId="0" applyNumberFormat="1">
      <alignment vertical="top"/>
    </xf>
    <xf numFmtId="166" fontId="13" fillId="0" borderId="8" xfId="20" applyNumberFormat="1" applyAlignment="1">
      <alignment vertical="top"/>
    </xf>
    <xf numFmtId="172" fontId="13" fillId="0" borderId="0" xfId="0" applyFont="1">
      <alignment vertical="top"/>
    </xf>
    <xf numFmtId="0" fontId="18" fillId="0" borderId="0" xfId="27">
      <alignment vertical="top"/>
    </xf>
    <xf numFmtId="166" fontId="14" fillId="0" borderId="0" xfId="5" applyNumberFormat="1">
      <alignment horizontal="left" vertical="center"/>
    </xf>
    <xf numFmtId="0" fontId="21" fillId="0" borderId="0" xfId="6">
      <alignment horizontal="left"/>
    </xf>
    <xf numFmtId="0" fontId="10" fillId="0" borderId="0" xfId="9" applyNumberFormat="1" applyAlignment="1">
      <alignment vertical="top"/>
    </xf>
    <xf numFmtId="173" fontId="12" fillId="12" borderId="7" xfId="7" applyAlignment="1">
      <alignment vertical="top"/>
    </xf>
    <xf numFmtId="172" fontId="3" fillId="3" borderId="3" xfId="12" applyNumberFormat="1" applyAlignment="1">
      <alignment vertical="top"/>
      <protection locked="0"/>
    </xf>
    <xf numFmtId="0" fontId="10" fillId="5" borderId="0" xfId="9" applyFill="1" applyAlignment="1">
      <alignment horizontal="left" vertical="center"/>
    </xf>
    <xf numFmtId="164" fontId="10" fillId="8" borderId="0" xfId="9" applyNumberFormat="1" applyFill="1" applyAlignment="1">
      <alignment horizontal="left"/>
    </xf>
    <xf numFmtId="172" fontId="10" fillId="0" borderId="0" xfId="9" applyNumberFormat="1" applyAlignment="1">
      <alignment vertical="top"/>
    </xf>
    <xf numFmtId="166" fontId="10" fillId="0" borderId="0" xfId="9" applyNumberFormat="1" applyAlignment="1">
      <alignment horizontal="left" vertical="center"/>
    </xf>
    <xf numFmtId="166" fontId="10" fillId="0" borderId="0" xfId="9" applyNumberFormat="1" applyAlignment="1">
      <alignment horizontal="center"/>
    </xf>
    <xf numFmtId="0" fontId="10" fillId="0" borderId="0" xfId="9" applyAlignment="1">
      <alignment horizontal="left" vertical="center"/>
    </xf>
    <xf numFmtId="166" fontId="10" fillId="0" borderId="0" xfId="9" applyNumberFormat="1" applyAlignment="1">
      <alignment horizontal="left"/>
    </xf>
    <xf numFmtId="166" fontId="10" fillId="0" borderId="0" xfId="9" applyNumberFormat="1" applyAlignment="1">
      <alignment vertical="top"/>
    </xf>
    <xf numFmtId="164" fontId="5" fillId="0" borderId="4" xfId="19" applyNumberFormat="1">
      <alignment vertical="top" shrinkToFit="1"/>
    </xf>
    <xf numFmtId="166" fontId="13" fillId="0" borderId="0" xfId="0" applyNumberFormat="1" applyFont="1">
      <alignment vertical="top"/>
    </xf>
    <xf numFmtId="173" fontId="3" fillId="11" borderId="7" xfId="30" applyNumberFormat="1" applyAlignment="1">
      <alignment vertical="top"/>
    </xf>
    <xf numFmtId="166" fontId="0" fillId="0" borderId="0" xfId="0" applyNumberFormat="1" applyFont="1">
      <alignment vertical="top"/>
    </xf>
    <xf numFmtId="166" fontId="3" fillId="3" borderId="3" xfId="12" applyNumberFormat="1" applyAlignment="1">
      <alignment vertical="top"/>
      <protection locked="0"/>
    </xf>
    <xf numFmtId="173" fontId="0" fillId="0" borderId="0" xfId="0" applyNumberFormat="1">
      <alignment vertical="top"/>
    </xf>
    <xf numFmtId="0" fontId="26" fillId="0" borderId="0" xfId="23" applyAlignment="1">
      <alignment horizontal="left" vertical="center"/>
    </xf>
    <xf numFmtId="0" fontId="13" fillId="0" borderId="8" xfId="20" applyAlignment="1">
      <alignment horizontal="left" vertical="center"/>
    </xf>
    <xf numFmtId="173" fontId="3" fillId="11" borderId="7" xfId="30" applyNumberFormat="1" applyAlignment="1">
      <alignment horizontal="right"/>
    </xf>
    <xf numFmtId="166" fontId="0" fillId="0" borderId="0" xfId="0" applyNumberFormat="1" applyProtection="1">
      <alignment vertical="top"/>
    </xf>
    <xf numFmtId="166" fontId="0" fillId="0" borderId="0" xfId="0" applyNumberFormat="1" applyFill="1">
      <alignment vertical="top"/>
    </xf>
    <xf numFmtId="172" fontId="0" fillId="0" borderId="0" xfId="0" applyFill="1">
      <alignment vertical="top"/>
    </xf>
    <xf numFmtId="166" fontId="21" fillId="0" borderId="0" xfId="6" applyNumberFormat="1" applyFill="1">
      <alignment horizontal="left"/>
    </xf>
    <xf numFmtId="173" fontId="3" fillId="3" borderId="3" xfId="12" applyNumberFormat="1" applyAlignment="1" applyProtection="1">
      <alignment horizontal="left" vertical="center"/>
    </xf>
    <xf numFmtId="173" fontId="23" fillId="0" borderId="7" xfId="14" applyNumberFormat="1" applyAlignment="1">
      <alignment vertical="top"/>
    </xf>
    <xf numFmtId="172" fontId="28" fillId="14" borderId="10" xfId="0" applyFont="1" applyFill="1" applyBorder="1" applyAlignment="1">
      <alignment horizontal="left" vertical="center" wrapText="1" readingOrder="1"/>
    </xf>
    <xf numFmtId="172" fontId="28" fillId="14" borderId="11" xfId="0" applyFont="1" applyFill="1" applyBorder="1" applyAlignment="1">
      <alignment horizontal="left" vertical="center" wrapText="1" readingOrder="1"/>
    </xf>
    <xf numFmtId="172" fontId="28" fillId="15" borderId="10" xfId="0" applyFont="1" applyFill="1" applyBorder="1" applyAlignment="1">
      <alignment horizontal="left" vertical="center" wrapText="1" readingOrder="1"/>
    </xf>
    <xf numFmtId="172" fontId="27" fillId="15" borderId="11" xfId="0" applyFont="1" applyFill="1" applyBorder="1" applyAlignment="1">
      <alignment vertical="top" wrapText="1"/>
    </xf>
    <xf numFmtId="172" fontId="29" fillId="16" borderId="10" xfId="0" applyFont="1" applyFill="1" applyBorder="1" applyAlignment="1">
      <alignment horizontal="left" vertical="center" wrapText="1" readingOrder="1"/>
    </xf>
    <xf numFmtId="172" fontId="27" fillId="16" borderId="11" xfId="0" applyFont="1" applyFill="1" applyBorder="1" applyAlignment="1">
      <alignment vertical="top" wrapText="1"/>
    </xf>
    <xf numFmtId="172" fontId="30" fillId="17" borderId="10" xfId="0" applyFont="1" applyFill="1" applyBorder="1" applyAlignment="1">
      <alignment horizontal="left" vertical="center" wrapText="1" readingOrder="1"/>
    </xf>
    <xf numFmtId="172" fontId="30" fillId="17" borderId="11" xfId="0" applyFont="1" applyFill="1" applyBorder="1" applyAlignment="1">
      <alignment horizontal="left" vertical="center" wrapText="1" readingOrder="1"/>
    </xf>
    <xf numFmtId="172" fontId="30" fillId="0" borderId="10" xfId="0" applyFont="1" applyBorder="1" applyAlignment="1">
      <alignment horizontal="left" vertical="center" wrapText="1" readingOrder="1"/>
    </xf>
    <xf numFmtId="172" fontId="30" fillId="0" borderId="11" xfId="0" applyFont="1" applyBorder="1" applyAlignment="1">
      <alignment horizontal="left" vertical="center" wrapText="1" readingOrder="1"/>
    </xf>
    <xf numFmtId="166" fontId="32" fillId="0" borderId="0" xfId="6" applyNumberFormat="1" applyFont="1">
      <alignment horizontal="left"/>
    </xf>
    <xf numFmtId="172" fontId="31" fillId="15" borderId="11" xfId="0" applyFont="1" applyFill="1" applyBorder="1" applyAlignment="1">
      <alignment vertical="top" wrapText="1"/>
    </xf>
    <xf numFmtId="166" fontId="33" fillId="0" borderId="0" xfId="0" applyNumberFormat="1" applyFont="1">
      <alignment vertical="top"/>
    </xf>
    <xf numFmtId="166" fontId="33" fillId="0" borderId="0" xfId="0" applyNumberFormat="1" applyFont="1" applyAlignment="1">
      <alignment horizontal="left"/>
    </xf>
    <xf numFmtId="167" fontId="31" fillId="0" borderId="11" xfId="28" applyFont="1" applyBorder="1" applyAlignment="1">
      <alignment horizontal="right" vertical="top"/>
    </xf>
    <xf numFmtId="167" fontId="31" fillId="0" borderId="12" xfId="28" applyFont="1" applyBorder="1" applyAlignment="1">
      <alignment horizontal="right" vertical="top"/>
    </xf>
    <xf numFmtId="172" fontId="31" fillId="17" borderId="11" xfId="0" applyFont="1" applyFill="1" applyBorder="1" applyAlignment="1">
      <alignment horizontal="right" vertical="top" wrapText="1"/>
    </xf>
    <xf numFmtId="172" fontId="31" fillId="15" borderId="11" xfId="0" applyFont="1" applyFill="1" applyBorder="1" applyAlignment="1">
      <alignment horizontal="right" vertical="top" wrapText="1"/>
    </xf>
    <xf numFmtId="172" fontId="31" fillId="15" borderId="12" xfId="0" applyFont="1" applyFill="1" applyBorder="1" applyAlignment="1">
      <alignment horizontal="right" vertical="top" wrapText="1"/>
    </xf>
    <xf numFmtId="172" fontId="31" fillId="17" borderId="12" xfId="0" applyFont="1" applyFill="1" applyBorder="1" applyAlignment="1">
      <alignment horizontal="right" vertical="top" wrapText="1"/>
    </xf>
    <xf numFmtId="172" fontId="31" fillId="0" borderId="11" xfId="0" applyFont="1" applyBorder="1" applyAlignment="1">
      <alignment horizontal="right" vertical="top" wrapText="1"/>
    </xf>
    <xf numFmtId="172" fontId="31" fillId="0" borderId="12" xfId="0" applyFont="1" applyBorder="1" applyAlignment="1">
      <alignment horizontal="right" vertical="top" wrapText="1"/>
    </xf>
    <xf numFmtId="0" fontId="14" fillId="0" borderId="0" xfId="5" applyProtection="1">
      <alignment horizontal="left" vertical="center"/>
    </xf>
    <xf numFmtId="166" fontId="0" fillId="0" borderId="0" xfId="0" applyNumberFormat="1" applyFill="1" applyBorder="1">
      <alignment vertical="top"/>
    </xf>
    <xf numFmtId="166" fontId="21" fillId="0" borderId="0" xfId="6" applyNumberFormat="1" applyFill="1" applyBorder="1">
      <alignment horizontal="left"/>
    </xf>
    <xf numFmtId="172" fontId="0" fillId="0" borderId="0" xfId="0" applyFill="1" applyBorder="1">
      <alignment vertical="top"/>
    </xf>
    <xf numFmtId="166" fontId="10" fillId="0" borderId="0" xfId="9" applyNumberFormat="1" applyFill="1" applyBorder="1" applyAlignment="1">
      <alignment vertical="top"/>
    </xf>
    <xf numFmtId="166" fontId="0" fillId="0" borderId="0" xfId="0" applyNumberFormat="1" applyFill="1" applyBorder="1" applyAlignment="1">
      <alignment horizontal="left"/>
    </xf>
    <xf numFmtId="0" fontId="6" fillId="0" borderId="0" xfId="15" applyFill="1" applyAlignment="1">
      <alignment horizontal="left"/>
    </xf>
    <xf numFmtId="0" fontId="22" fillId="0" borderId="0" xfId="17" applyFill="1" applyAlignment="1">
      <alignment vertical="top"/>
    </xf>
    <xf numFmtId="0" fontId="5" fillId="0" borderId="0" xfId="18" applyFill="1">
      <alignment horizontal="left"/>
    </xf>
    <xf numFmtId="0" fontId="17" fillId="0" borderId="0" xfId="4" applyFill="1">
      <alignment horizontal="left" vertical="center"/>
    </xf>
    <xf numFmtId="0" fontId="6" fillId="0" borderId="0" xfId="15" applyFill="1"/>
    <xf numFmtId="0" fontId="22" fillId="5" borderId="0" xfId="17" applyAlignment="1">
      <alignment horizontal="center" vertical="center"/>
    </xf>
    <xf numFmtId="164" fontId="5" fillId="8" borderId="0" xfId="18" applyNumberFormat="1" applyAlignment="1">
      <alignment horizontal="center"/>
    </xf>
    <xf numFmtId="172" fontId="0" fillId="0" borderId="0" xfId="0" applyAlignment="1">
      <alignment horizontal="center" vertical="top"/>
    </xf>
    <xf numFmtId="166" fontId="14" fillId="0" borderId="0" xfId="5" applyNumberFormat="1" applyAlignment="1">
      <alignment horizontal="center" vertical="center"/>
    </xf>
    <xf numFmtId="0" fontId="6" fillId="7" borderId="0" xfId="15" applyAlignment="1">
      <alignment horizontal="center"/>
    </xf>
    <xf numFmtId="0" fontId="17" fillId="5" borderId="0" xfId="4" applyAlignment="1">
      <alignment horizontal="center" vertical="center"/>
    </xf>
    <xf numFmtId="166" fontId="0" fillId="0" borderId="0" xfId="0" applyNumberFormat="1" applyAlignment="1">
      <alignment horizontal="center" vertical="top"/>
    </xf>
    <xf numFmtId="166" fontId="21" fillId="0" borderId="0" xfId="6" applyNumberFormat="1" applyAlignment="1">
      <alignment horizontal="center"/>
    </xf>
    <xf numFmtId="172" fontId="0" fillId="0" borderId="0" xfId="0" applyFill="1" applyBorder="1" applyAlignment="1">
      <alignment horizontal="center" vertical="top"/>
    </xf>
    <xf numFmtId="0" fontId="6" fillId="0" borderId="0" xfId="15" applyFill="1" applyAlignment="1">
      <alignment horizontal="center"/>
    </xf>
    <xf numFmtId="164" fontId="5" fillId="0" borderId="4" xfId="19" applyAlignment="1">
      <alignment horizontal="center" vertical="top" shrinkToFit="1"/>
    </xf>
    <xf numFmtId="166" fontId="13" fillId="0" borderId="0" xfId="0" applyNumberFormat="1" applyFont="1" applyFill="1">
      <alignment vertical="top"/>
    </xf>
    <xf numFmtId="0" fontId="6" fillId="7" borderId="0" xfId="15" applyAlignment="1">
      <alignment vertical="top"/>
    </xf>
    <xf numFmtId="0" fontId="6" fillId="7" borderId="0" xfId="15" applyAlignment="1">
      <alignment horizontal="left" vertical="center"/>
    </xf>
    <xf numFmtId="173" fontId="23" fillId="12" borderId="7" xfId="14" applyNumberFormat="1" applyFill="1" applyAlignment="1">
      <alignment horizontal="left" vertical="center"/>
    </xf>
    <xf numFmtId="166" fontId="8" fillId="0" borderId="0" xfId="0" applyNumberFormat="1" applyFont="1" applyFill="1">
      <alignment vertical="top"/>
    </xf>
    <xf numFmtId="0" fontId="10" fillId="0" borderId="0" xfId="9" applyFill="1" applyBorder="1" applyAlignment="1">
      <alignment horizontal="left" vertical="center"/>
    </xf>
    <xf numFmtId="0" fontId="12" fillId="0" borderId="0" xfId="11" applyNumberFormat="1" applyFill="1" applyBorder="1" applyAlignment="1" applyProtection="1">
      <alignment horizontal="left" vertical="center"/>
    </xf>
    <xf numFmtId="0" fontId="6" fillId="0" borderId="0" xfId="15" applyFill="1" applyAlignment="1">
      <alignment vertical="top"/>
    </xf>
    <xf numFmtId="0" fontId="6" fillId="0" borderId="0" xfId="15" applyFill="1" applyAlignment="1">
      <alignment horizontal="left" vertical="center"/>
    </xf>
    <xf numFmtId="167" fontId="23" fillId="12" borderId="14" xfId="28" applyFont="1" applyFill="1" applyBorder="1" applyAlignment="1">
      <alignment horizontal="left" vertical="top"/>
    </xf>
    <xf numFmtId="166" fontId="21" fillId="0" borderId="0" xfId="6" applyNumberFormat="1" applyBorder="1">
      <alignment horizontal="left"/>
    </xf>
    <xf numFmtId="166" fontId="0" fillId="0" borderId="0" xfId="0" applyNumberFormat="1" applyBorder="1">
      <alignment vertical="top"/>
    </xf>
    <xf numFmtId="0" fontId="10" fillId="0" borderId="0" xfId="9" applyBorder="1" applyAlignment="1">
      <alignment horizontal="left" vertical="center"/>
    </xf>
    <xf numFmtId="166" fontId="10" fillId="0" borderId="0" xfId="9" applyNumberFormat="1" applyBorder="1" applyAlignment="1">
      <alignment horizontal="center"/>
    </xf>
    <xf numFmtId="173" fontId="23" fillId="12" borderId="0" xfId="14" applyNumberFormat="1" applyFill="1" applyBorder="1" applyAlignment="1">
      <alignment horizontal="left" vertical="center"/>
    </xf>
    <xf numFmtId="166" fontId="13" fillId="0" borderId="0" xfId="0" applyNumberFormat="1" applyFont="1" applyBorder="1">
      <alignment vertical="top"/>
    </xf>
    <xf numFmtId="166" fontId="23" fillId="0" borderId="7" xfId="14" applyNumberFormat="1" applyAlignment="1">
      <alignment vertical="top"/>
    </xf>
    <xf numFmtId="173" fontId="12" fillId="12" borderId="7" xfId="7" applyAlignment="1">
      <alignment horizontal="right" vertical="center"/>
    </xf>
    <xf numFmtId="166" fontId="13" fillId="0" borderId="0" xfId="20" applyNumberFormat="1" applyFill="1" applyBorder="1" applyAlignment="1">
      <alignment vertical="top"/>
    </xf>
    <xf numFmtId="0" fontId="13" fillId="0" borderId="0" xfId="20" applyFill="1" applyBorder="1" applyAlignment="1">
      <alignment horizontal="left" vertical="center"/>
    </xf>
    <xf numFmtId="0" fontId="21" fillId="0" borderId="0" xfId="6" applyFill="1">
      <alignment horizontal="left"/>
    </xf>
    <xf numFmtId="173" fontId="14" fillId="0" borderId="0" xfId="5" applyNumberFormat="1">
      <alignment horizontal="left" vertical="center"/>
    </xf>
    <xf numFmtId="166" fontId="10" fillId="0" borderId="9" xfId="9" applyNumberFormat="1" applyBorder="1" applyAlignment="1">
      <alignment vertical="top"/>
    </xf>
    <xf numFmtId="173" fontId="12" fillId="12" borderId="14" xfId="7" applyBorder="1" applyAlignment="1">
      <alignment vertical="top"/>
    </xf>
    <xf numFmtId="172" fontId="0" fillId="0" borderId="0" xfId="0" applyFont="1" applyBorder="1">
      <alignment vertical="top"/>
    </xf>
    <xf numFmtId="166" fontId="10" fillId="0" borderId="0" xfId="9" applyNumberFormat="1" applyBorder="1" applyAlignment="1">
      <alignment vertical="top"/>
    </xf>
    <xf numFmtId="175" fontId="12" fillId="12" borderId="7" xfId="7" applyNumberFormat="1" applyAlignment="1">
      <alignment vertical="top"/>
    </xf>
    <xf numFmtId="175" fontId="12" fillId="12" borderId="7" xfId="7" applyNumberFormat="1" applyAlignment="1">
      <alignment horizontal="right" vertical="center"/>
    </xf>
    <xf numFmtId="175" fontId="12" fillId="12" borderId="7" xfId="7" applyNumberFormat="1" applyAlignment="1">
      <alignment horizontal="right" vertical="top"/>
    </xf>
    <xf numFmtId="176" fontId="24" fillId="12" borderId="7" xfId="31" applyNumberFormat="1" applyFill="1" applyAlignment="1">
      <alignment horizontal="right" vertical="top"/>
    </xf>
    <xf numFmtId="172" fontId="13" fillId="0" borderId="0" xfId="0" applyFont="1" applyFill="1">
      <alignment vertical="top"/>
    </xf>
    <xf numFmtId="175" fontId="12" fillId="12" borderId="15" xfId="7" applyNumberFormat="1" applyBorder="1" applyAlignment="1">
      <alignment vertical="top"/>
    </xf>
    <xf numFmtId="166" fontId="13" fillId="0" borderId="0" xfId="0" applyNumberFormat="1" applyFont="1" applyAlignment="1">
      <alignment horizontal="right" vertical="top"/>
    </xf>
    <xf numFmtId="0" fontId="34" fillId="0" borderId="0" xfId="5" applyFont="1" applyAlignment="1">
      <alignment horizontal="right" vertical="center"/>
    </xf>
    <xf numFmtId="166" fontId="0" fillId="0" borderId="0" xfId="0" applyNumberFormat="1" applyAlignment="1">
      <alignment horizontal="right" vertical="top"/>
    </xf>
    <xf numFmtId="173" fontId="23" fillId="12" borderId="7" xfId="14" applyNumberFormat="1" applyFill="1" applyAlignment="1">
      <alignment horizontal="right" vertical="center"/>
    </xf>
    <xf numFmtId="0" fontId="22" fillId="5" borderId="0" xfId="17" applyAlignment="1">
      <alignment horizontal="right" vertical="center"/>
    </xf>
    <xf numFmtId="164" fontId="5" fillId="8" borderId="0" xfId="18" applyNumberFormat="1" applyAlignment="1">
      <alignment horizontal="right"/>
    </xf>
    <xf numFmtId="172" fontId="0" fillId="0" borderId="0" xfId="0" applyAlignment="1">
      <alignment horizontal="right" vertical="top"/>
    </xf>
    <xf numFmtId="166" fontId="14" fillId="0" borderId="0" xfId="5" applyNumberFormat="1" applyAlignment="1">
      <alignment horizontal="right" vertical="center"/>
    </xf>
    <xf numFmtId="0" fontId="17" fillId="5" borderId="0" xfId="4" applyAlignment="1">
      <alignment horizontal="right" vertical="center"/>
    </xf>
    <xf numFmtId="0" fontId="14" fillId="0" borderId="0" xfId="5" applyAlignment="1">
      <alignment horizontal="right" vertical="center"/>
    </xf>
    <xf numFmtId="166" fontId="8" fillId="0" borderId="0" xfId="0" applyNumberFormat="1" applyFont="1" applyAlignment="1">
      <alignment horizontal="right" vertical="top"/>
    </xf>
    <xf numFmtId="0" fontId="14" fillId="18" borderId="0" xfId="10" applyFont="1" applyAlignment="1">
      <alignment horizontal="right" vertical="center"/>
    </xf>
    <xf numFmtId="173" fontId="23" fillId="0" borderId="7" xfId="14" applyNumberFormat="1" applyAlignment="1">
      <alignment horizontal="right" vertical="top"/>
    </xf>
    <xf numFmtId="167" fontId="23" fillId="0" borderId="7" xfId="14" applyNumberFormat="1" applyAlignment="1">
      <alignment horizontal="right" vertical="top"/>
    </xf>
    <xf numFmtId="0" fontId="12" fillId="0" borderId="0" xfId="11" applyNumberFormat="1" applyFill="1" applyBorder="1" applyAlignment="1" applyProtection="1">
      <alignment horizontal="right" vertical="center"/>
    </xf>
    <xf numFmtId="173" fontId="24" fillId="12" borderId="7" xfId="31" applyNumberFormat="1" applyFill="1" applyAlignment="1">
      <alignment horizontal="right" vertical="center"/>
    </xf>
    <xf numFmtId="173" fontId="35" fillId="12" borderId="8" xfId="20" applyNumberFormat="1" applyFont="1" applyFill="1" applyAlignment="1">
      <alignment horizontal="right" vertical="center"/>
    </xf>
    <xf numFmtId="0" fontId="10" fillId="0" borderId="0" xfId="9" applyAlignment="1">
      <alignment horizontal="center" wrapText="1"/>
    </xf>
    <xf numFmtId="173" fontId="12" fillId="12" borderId="0" xfId="7" applyBorder="1" applyAlignment="1">
      <alignment horizontal="right" vertical="center"/>
    </xf>
    <xf numFmtId="172" fontId="0" fillId="0" borderId="0" xfId="0" applyBorder="1">
      <alignment vertical="top"/>
    </xf>
    <xf numFmtId="166" fontId="13" fillId="0" borderId="0" xfId="20" applyNumberFormat="1" applyBorder="1" applyAlignment="1">
      <alignment vertical="top"/>
    </xf>
    <xf numFmtId="0" fontId="13" fillId="0" borderId="0" xfId="20" applyBorder="1" applyAlignment="1">
      <alignment horizontal="left" vertical="center"/>
    </xf>
    <xf numFmtId="173" fontId="13" fillId="12" borderId="8" xfId="20" applyNumberFormat="1" applyFill="1" applyAlignment="1">
      <alignment horizontal="right" vertical="center"/>
    </xf>
    <xf numFmtId="0" fontId="6" fillId="7" borderId="0" xfId="15" applyAlignment="1">
      <alignment horizontal="right" vertical="center"/>
    </xf>
    <xf numFmtId="166" fontId="14" fillId="0" borderId="0" xfId="0" applyNumberFormat="1" applyFont="1">
      <alignment vertical="top"/>
    </xf>
    <xf numFmtId="0" fontId="14" fillId="0" borderId="17" xfId="5" applyBorder="1">
      <alignment horizontal="left" vertical="center"/>
    </xf>
    <xf numFmtId="166" fontId="14" fillId="0" borderId="17" xfId="5" applyNumberFormat="1" applyBorder="1">
      <alignment horizontal="left" vertical="center"/>
    </xf>
    <xf numFmtId="173" fontId="23" fillId="12" borderId="7" xfId="14" applyNumberFormat="1" applyFill="1" applyAlignment="1">
      <alignment vertical="top"/>
    </xf>
    <xf numFmtId="166" fontId="8" fillId="0" borderId="0" xfId="0" applyNumberFormat="1" applyFont="1" applyBorder="1">
      <alignment vertical="top"/>
    </xf>
    <xf numFmtId="173" fontId="23" fillId="0" borderId="0" xfId="14" applyNumberFormat="1" applyBorder="1" applyAlignment="1">
      <alignment horizontal="right" vertical="top"/>
    </xf>
    <xf numFmtId="166" fontId="0" fillId="0" borderId="0" xfId="0" applyNumberFormat="1" applyFill="1" applyBorder="1" applyAlignment="1">
      <alignment horizontal="right" vertical="top"/>
    </xf>
    <xf numFmtId="0" fontId="23" fillId="0" borderId="7" xfId="14" applyAlignment="1">
      <alignment horizontal="left" vertical="center"/>
    </xf>
    <xf numFmtId="2" fontId="23" fillId="0" borderId="7" xfId="14" applyNumberFormat="1" applyAlignment="1">
      <alignment horizontal="right" vertical="center"/>
    </xf>
    <xf numFmtId="0" fontId="21" fillId="0" borderId="9" xfId="6" applyBorder="1">
      <alignment horizontal="left"/>
    </xf>
    <xf numFmtId="2" fontId="3" fillId="3" borderId="3" xfId="12" applyNumberFormat="1" applyAlignment="1">
      <alignment vertical="top"/>
      <protection locked="0"/>
    </xf>
    <xf numFmtId="0" fontId="10" fillId="0" borderId="0" xfId="9" applyFill="1" applyAlignment="1">
      <alignment horizontal="left" vertical="center"/>
    </xf>
    <xf numFmtId="166" fontId="8" fillId="0" borderId="0" xfId="0" applyNumberFormat="1" applyFont="1" applyFill="1" applyAlignment="1">
      <alignment horizontal="right" vertical="top"/>
    </xf>
    <xf numFmtId="2" fontId="23" fillId="0" borderId="14" xfId="14" applyNumberFormat="1" applyBorder="1" applyAlignment="1">
      <alignment horizontal="right" vertical="center"/>
    </xf>
    <xf numFmtId="2" fontId="23" fillId="0" borderId="16" xfId="14" applyNumberFormat="1" applyBorder="1" applyAlignment="1">
      <alignment horizontal="right" vertical="center"/>
    </xf>
    <xf numFmtId="2" fontId="23" fillId="0" borderId="0" xfId="14" applyNumberFormat="1" applyBorder="1" applyAlignment="1">
      <alignment horizontal="right" vertical="center"/>
    </xf>
    <xf numFmtId="0" fontId="36" fillId="0" borderId="0" xfId="9" applyFont="1" applyAlignment="1">
      <alignment horizontal="center" vertical="center"/>
    </xf>
    <xf numFmtId="1" fontId="3" fillId="3" borderId="3" xfId="12" applyNumberFormat="1" applyAlignment="1">
      <alignment horizontal="right" vertical="top"/>
      <protection locked="0"/>
    </xf>
    <xf numFmtId="1" fontId="3" fillId="3" borderId="3" xfId="12" applyNumberFormat="1" applyAlignment="1">
      <alignment horizontal="right" vertical="center"/>
      <protection locked="0"/>
    </xf>
    <xf numFmtId="1" fontId="3" fillId="3" borderId="19" xfId="12" applyNumberFormat="1" applyBorder="1" applyAlignment="1">
      <alignment horizontal="right" vertical="center"/>
      <protection locked="0"/>
    </xf>
    <xf numFmtId="1" fontId="3" fillId="0" borderId="0" xfId="12" applyNumberFormat="1" applyFill="1" applyBorder="1" applyAlignment="1">
      <alignment horizontal="right" vertical="center"/>
      <protection locked="0"/>
    </xf>
    <xf numFmtId="174" fontId="3" fillId="3" borderId="3" xfId="12" applyNumberFormat="1" applyAlignment="1">
      <alignment vertical="top"/>
      <protection locked="0"/>
    </xf>
    <xf numFmtId="167" fontId="3" fillId="3" borderId="3" xfId="12" applyNumberFormat="1" applyAlignment="1">
      <alignment vertical="top"/>
      <protection locked="0"/>
    </xf>
    <xf numFmtId="0" fontId="10" fillId="18" borderId="0" xfId="10" applyFont="1" applyAlignment="1">
      <alignment horizontal="left" vertical="center"/>
    </xf>
    <xf numFmtId="166" fontId="10" fillId="18" borderId="0" xfId="10" applyNumberFormat="1" applyFont="1" applyAlignment="1">
      <alignment horizontal="center"/>
    </xf>
    <xf numFmtId="167" fontId="12" fillId="12" borderId="7" xfId="28" applyFill="1" applyBorder="1">
      <alignment vertical="top"/>
    </xf>
    <xf numFmtId="166" fontId="8" fillId="0" borderId="0" xfId="0" applyNumberFormat="1" applyFont="1" applyBorder="1" applyAlignment="1">
      <alignment horizontal="right" vertical="top"/>
    </xf>
    <xf numFmtId="173" fontId="23" fillId="0" borderId="21" xfId="14" applyNumberFormat="1" applyBorder="1" applyAlignment="1">
      <alignment vertical="top"/>
    </xf>
    <xf numFmtId="1" fontId="23" fillId="12" borderId="7" xfId="14" applyNumberFormat="1" applyFill="1" applyAlignment="1">
      <alignment vertical="top"/>
    </xf>
    <xf numFmtId="173" fontId="12" fillId="12" borderId="21" xfId="7" applyBorder="1" applyAlignment="1">
      <alignment vertical="top"/>
    </xf>
    <xf numFmtId="166" fontId="8" fillId="18" borderId="0" xfId="10" applyNumberFormat="1" applyFont="1" applyAlignment="1">
      <alignment horizontal="right" vertical="top"/>
    </xf>
    <xf numFmtId="166" fontId="8" fillId="18" borderId="0" xfId="10" applyNumberFormat="1" applyFont="1" applyAlignment="1">
      <alignment vertical="top"/>
    </xf>
    <xf numFmtId="166" fontId="0" fillId="18" borderId="0" xfId="10" applyNumberFormat="1" applyFont="1" applyAlignment="1">
      <alignment horizontal="right" vertical="top"/>
    </xf>
    <xf numFmtId="173" fontId="12" fillId="12" borderId="21" xfId="7" applyBorder="1" applyAlignment="1">
      <alignment horizontal="right" vertical="center"/>
    </xf>
    <xf numFmtId="173" fontId="12" fillId="12" borderId="0" xfId="7" applyBorder="1" applyAlignment="1">
      <alignment horizontal="left" vertical="center"/>
    </xf>
    <xf numFmtId="167" fontId="10" fillId="0" borderId="0" xfId="9" applyNumberFormat="1" applyAlignment="1">
      <alignment vertical="top"/>
    </xf>
    <xf numFmtId="1" fontId="3" fillId="3" borderId="3" xfId="12" applyNumberFormat="1" applyAlignment="1">
      <alignment vertical="top"/>
      <protection locked="0"/>
    </xf>
    <xf numFmtId="1" fontId="3" fillId="3" borderId="18" xfId="12" applyNumberFormat="1" applyBorder="1" applyAlignment="1">
      <alignment vertical="top"/>
      <protection locked="0"/>
    </xf>
    <xf numFmtId="166" fontId="0" fillId="0" borderId="0" xfId="0" applyNumberFormat="1" applyFont="1" applyFill="1" applyBorder="1">
      <alignment vertical="top"/>
    </xf>
    <xf numFmtId="172" fontId="3" fillId="0" borderId="0" xfId="12" applyNumberFormat="1" applyFill="1" applyBorder="1" applyAlignment="1">
      <alignment vertical="top"/>
      <protection locked="0"/>
    </xf>
    <xf numFmtId="172" fontId="23" fillId="0" borderId="7" xfId="14" applyNumberFormat="1" applyAlignment="1">
      <alignment vertical="top"/>
    </xf>
    <xf numFmtId="4" fontId="12" fillId="13" borderId="2" xfId="11" applyNumberFormat="1" applyAlignment="1">
      <alignment vertical="top"/>
      <protection locked="0"/>
    </xf>
    <xf numFmtId="4" fontId="12" fillId="13" borderId="2" xfId="11" applyNumberFormat="1">
      <protection locked="0"/>
    </xf>
    <xf numFmtId="4" fontId="12" fillId="13" borderId="2" xfId="11" applyNumberFormat="1" applyAlignment="1">
      <protection locked="0"/>
    </xf>
    <xf numFmtId="4" fontId="0" fillId="0" borderId="0" xfId="0" applyNumberFormat="1">
      <alignment vertical="top"/>
    </xf>
    <xf numFmtId="4" fontId="6" fillId="7" borderId="0" xfId="15" applyNumberFormat="1" applyAlignment="1">
      <alignment horizontal="left"/>
    </xf>
    <xf numFmtId="4" fontId="21" fillId="0" borderId="0" xfId="6" applyNumberFormat="1">
      <alignment horizontal="left"/>
    </xf>
    <xf numFmtId="4" fontId="12" fillId="13" borderId="13" xfId="11" applyNumberFormat="1" applyBorder="1" applyAlignment="1">
      <protection locked="0"/>
    </xf>
    <xf numFmtId="4" fontId="12" fillId="0" borderId="0" xfId="11" applyNumberFormat="1" applyFill="1" applyBorder="1" applyAlignment="1">
      <protection locked="0"/>
    </xf>
    <xf numFmtId="4" fontId="17" fillId="5" borderId="0" xfId="4" applyNumberFormat="1">
      <alignment horizontal="left" vertical="center"/>
    </xf>
    <xf numFmtId="4" fontId="6" fillId="0" borderId="0" xfId="15" applyNumberFormat="1" applyFill="1" applyAlignment="1">
      <alignment horizontal="left"/>
    </xf>
    <xf numFmtId="0" fontId="5" fillId="5" borderId="0" xfId="4" applyFont="1" applyAlignment="1">
      <alignment horizontal="right" vertical="center"/>
    </xf>
    <xf numFmtId="0" fontId="10" fillId="0" borderId="0" xfId="9" applyAlignment="1">
      <alignment wrapText="1"/>
    </xf>
    <xf numFmtId="172" fontId="29" fillId="17" borderId="10" xfId="0" applyFont="1" applyFill="1" applyBorder="1" applyAlignment="1">
      <alignment horizontal="left" vertical="center" wrapText="1" readingOrder="1"/>
    </xf>
    <xf numFmtId="172" fontId="29" fillId="17" borderId="11" xfId="0" applyFont="1" applyFill="1" applyBorder="1" applyAlignment="1">
      <alignment horizontal="left" vertical="center" wrapText="1" readingOrder="1"/>
    </xf>
    <xf numFmtId="172" fontId="0" fillId="0" borderId="0" xfId="0" applyFont="1">
      <alignment vertical="top"/>
    </xf>
    <xf numFmtId="172" fontId="0" fillId="0" borderId="0" xfId="0" applyBorder="1" applyAlignment="1">
      <alignment vertical="top" wrapText="1"/>
    </xf>
    <xf numFmtId="172" fontId="0" fillId="0" borderId="0" xfId="0" applyFont="1" applyBorder="1" applyAlignment="1">
      <alignment horizontal="left" vertical="top" wrapText="1"/>
    </xf>
    <xf numFmtId="172" fontId="0" fillId="0" borderId="23" xfId="0" applyFont="1" applyBorder="1" applyAlignment="1">
      <alignment horizontal="center" vertical="center" wrapText="1"/>
    </xf>
    <xf numFmtId="166" fontId="10" fillId="0" borderId="0" xfId="9" applyNumberFormat="1" applyAlignment="1">
      <alignment horizontal="left" vertical="top"/>
    </xf>
    <xf numFmtId="173" fontId="23" fillId="12" borderId="7" xfId="14" applyNumberFormat="1" applyFill="1" applyAlignment="1" applyProtection="1">
      <alignment vertical="top"/>
    </xf>
    <xf numFmtId="166" fontId="0" fillId="0" borderId="0" xfId="0" applyNumberFormat="1" applyBorder="1" applyAlignment="1">
      <alignment horizontal="left"/>
    </xf>
    <xf numFmtId="172" fontId="0" fillId="3" borderId="3" xfId="12" applyNumberFormat="1" applyFont="1" applyAlignment="1">
      <alignment vertical="top"/>
      <protection locked="0"/>
    </xf>
    <xf numFmtId="173" fontId="14" fillId="0" borderId="0" xfId="5" applyNumberFormat="1" applyProtection="1">
      <alignment horizontal="left" vertical="center"/>
    </xf>
    <xf numFmtId="173" fontId="0" fillId="0" borderId="0" xfId="0" applyNumberFormat="1" applyProtection="1">
      <alignment vertical="top"/>
    </xf>
    <xf numFmtId="167" fontId="12" fillId="12" borderId="7" xfId="28" applyFill="1" applyBorder="1" applyAlignment="1">
      <alignment horizontal="right" vertical="top"/>
    </xf>
    <xf numFmtId="0" fontId="10" fillId="0" borderId="0" xfId="9" applyNumberFormat="1" applyFill="1" applyAlignment="1">
      <alignment vertical="top"/>
    </xf>
    <xf numFmtId="167" fontId="12" fillId="12" borderId="7" xfId="28" applyFill="1" applyBorder="1" applyProtection="1">
      <alignment vertical="top"/>
      <protection locked="0"/>
    </xf>
    <xf numFmtId="0" fontId="3" fillId="0" borderId="0" xfId="5" applyFont="1">
      <alignment horizontal="left" vertical="center"/>
    </xf>
    <xf numFmtId="0" fontId="23" fillId="0" borderId="7" xfId="14" applyAlignment="1">
      <alignment horizontal="right" vertical="center"/>
    </xf>
    <xf numFmtId="167" fontId="24" fillId="0" borderId="7" xfId="31" applyNumberFormat="1" applyAlignment="1">
      <alignment vertical="top"/>
    </xf>
    <xf numFmtId="0" fontId="10" fillId="0" borderId="0" xfId="9" applyFill="1" applyAlignment="1">
      <alignment wrapText="1"/>
    </xf>
    <xf numFmtId="4" fontId="25" fillId="0" borderId="0" xfId="0" applyNumberFormat="1" applyFont="1">
      <alignment vertical="top"/>
    </xf>
    <xf numFmtId="4" fontId="41" fillId="7" borderId="0" xfId="15" applyNumberFormat="1" applyFont="1" applyAlignment="1">
      <alignment horizontal="left"/>
    </xf>
    <xf numFmtId="4" fontId="37" fillId="0" borderId="0" xfId="6" applyNumberFormat="1" applyFont="1">
      <alignment horizontal="left"/>
    </xf>
    <xf numFmtId="4" fontId="25" fillId="0" borderId="0" xfId="11" applyNumberFormat="1" applyFont="1" applyFill="1" applyBorder="1" applyAlignment="1">
      <protection locked="0"/>
    </xf>
    <xf numFmtId="4" fontId="37" fillId="5" borderId="0" xfId="4" applyNumberFormat="1" applyFont="1">
      <alignment horizontal="left" vertical="center"/>
    </xf>
    <xf numFmtId="167" fontId="24" fillId="12" borderId="7" xfId="31" applyNumberFormat="1" applyFill="1" applyAlignment="1">
      <alignment vertical="top"/>
    </xf>
    <xf numFmtId="173" fontId="0" fillId="12" borderId="7" xfId="7" applyFont="1" applyAlignment="1">
      <alignment horizontal="right" vertical="center"/>
    </xf>
    <xf numFmtId="166" fontId="19" fillId="0" borderId="0" xfId="9" applyNumberFormat="1" applyFont="1" applyAlignment="1">
      <alignment horizontal="center"/>
    </xf>
    <xf numFmtId="0" fontId="19" fillId="0" borderId="0" xfId="9" applyFont="1" applyAlignment="1">
      <alignment horizontal="left" vertical="center"/>
    </xf>
    <xf numFmtId="0" fontId="13" fillId="0" borderId="0" xfId="5" applyFont="1">
      <alignment horizontal="left" vertical="center"/>
    </xf>
    <xf numFmtId="173" fontId="23" fillId="12" borderId="20" xfId="14" applyNumberFormat="1" applyFill="1" applyBorder="1" applyAlignment="1" applyProtection="1">
      <alignment vertical="top"/>
    </xf>
    <xf numFmtId="0" fontId="10" fillId="0" borderId="0" xfId="9" applyNumberFormat="1" applyBorder="1" applyAlignment="1">
      <alignment vertical="top"/>
    </xf>
    <xf numFmtId="173" fontId="23" fillId="12" borderId="0" xfId="14" applyNumberFormat="1" applyFill="1" applyBorder="1" applyAlignment="1" applyProtection="1">
      <alignment vertical="top"/>
    </xf>
    <xf numFmtId="173" fontId="23" fillId="12" borderId="21" xfId="14" applyNumberFormat="1" applyFill="1" applyBorder="1" applyAlignment="1" applyProtection="1">
      <alignment vertical="top"/>
    </xf>
    <xf numFmtId="173" fontId="12" fillId="12" borderId="7" xfId="7" applyAlignment="1" applyProtection="1">
      <alignment horizontal="left" vertical="center"/>
    </xf>
    <xf numFmtId="167" fontId="23" fillId="0" borderId="7" xfId="14" applyNumberFormat="1" applyAlignment="1" applyProtection="1">
      <alignment vertical="top"/>
    </xf>
    <xf numFmtId="172" fontId="31" fillId="15" borderId="11" xfId="0" applyFont="1" applyFill="1" applyBorder="1" applyAlignment="1">
      <alignment horizontal="left" vertical="top" wrapText="1"/>
    </xf>
    <xf numFmtId="173" fontId="23" fillId="12" borderId="0" xfId="14" applyNumberFormat="1" applyFill="1" applyBorder="1" applyAlignment="1">
      <alignment horizontal="right" vertical="center"/>
    </xf>
    <xf numFmtId="167" fontId="12" fillId="12" borderId="21" xfId="28" applyFill="1" applyBorder="1">
      <alignment vertical="top"/>
    </xf>
    <xf numFmtId="2" fontId="23" fillId="12" borderId="7" xfId="14" applyNumberFormat="1" applyFill="1" applyAlignment="1">
      <alignment horizontal="right" vertical="center"/>
    </xf>
    <xf numFmtId="2" fontId="14" fillId="0" borderId="0" xfId="5" applyNumberFormat="1">
      <alignment horizontal="left" vertical="center"/>
    </xf>
    <xf numFmtId="172" fontId="28" fillId="14" borderId="11" xfId="0" applyFont="1" applyFill="1" applyBorder="1" applyAlignment="1">
      <alignment horizontal="center" vertical="center" wrapText="1" readingOrder="1"/>
    </xf>
    <xf numFmtId="172" fontId="27" fillId="15" borderId="11" xfId="0" applyFont="1" applyFill="1" applyBorder="1" applyAlignment="1">
      <alignment horizontal="center" vertical="top" wrapText="1"/>
    </xf>
    <xf numFmtId="172" fontId="27" fillId="16" borderId="11" xfId="0" applyFont="1" applyFill="1" applyBorder="1" applyAlignment="1">
      <alignment horizontal="center" vertical="top" wrapText="1"/>
    </xf>
    <xf numFmtId="172" fontId="30" fillId="17" borderId="11" xfId="0" applyFont="1" applyFill="1" applyBorder="1" applyAlignment="1">
      <alignment horizontal="center" vertical="center" wrapText="1" readingOrder="1"/>
    </xf>
    <xf numFmtId="172" fontId="30" fillId="0" borderId="11" xfId="0" applyFont="1" applyBorder="1" applyAlignment="1">
      <alignment horizontal="center" vertical="center" wrapText="1" readingOrder="1"/>
    </xf>
    <xf numFmtId="172" fontId="28" fillId="14" borderId="12" xfId="0" applyFont="1" applyFill="1" applyBorder="1" applyAlignment="1">
      <alignment horizontal="center" vertical="center" wrapText="1" readingOrder="1"/>
    </xf>
    <xf numFmtId="172" fontId="27" fillId="15" borderId="12" xfId="0" applyFont="1" applyFill="1" applyBorder="1" applyAlignment="1">
      <alignment horizontal="center" vertical="top" wrapText="1"/>
    </xf>
    <xf numFmtId="172" fontId="27" fillId="16" borderId="12" xfId="0" applyFont="1" applyFill="1" applyBorder="1" applyAlignment="1">
      <alignment horizontal="center" vertical="top" wrapText="1"/>
    </xf>
    <xf numFmtId="172" fontId="30" fillId="17" borderId="12" xfId="0" applyFont="1" applyFill="1" applyBorder="1" applyAlignment="1">
      <alignment horizontal="center" vertical="center" wrapText="1" readingOrder="1"/>
    </xf>
    <xf numFmtId="172" fontId="30" fillId="0" borderId="12" xfId="0" applyFont="1" applyBorder="1" applyAlignment="1">
      <alignment horizontal="center" vertical="center" wrapText="1" readingOrder="1"/>
    </xf>
    <xf numFmtId="172" fontId="28" fillId="23" borderId="10" xfId="0" applyFont="1" applyFill="1" applyBorder="1" applyAlignment="1">
      <alignment horizontal="left" vertical="center" wrapText="1" readingOrder="1"/>
    </xf>
    <xf numFmtId="172" fontId="27" fillId="23" borderId="11" xfId="0" applyFont="1" applyFill="1" applyBorder="1" applyAlignment="1">
      <alignment vertical="top" wrapText="1"/>
    </xf>
    <xf numFmtId="172" fontId="27" fillId="23" borderId="11" xfId="0" applyFont="1" applyFill="1" applyBorder="1" applyAlignment="1">
      <alignment horizontal="center" vertical="top" wrapText="1"/>
    </xf>
    <xf numFmtId="172" fontId="27" fillId="23" borderId="12" xfId="0" applyFont="1" applyFill="1" applyBorder="1" applyAlignment="1">
      <alignment horizontal="center" vertical="top" wrapText="1"/>
    </xf>
    <xf numFmtId="172" fontId="29" fillId="24" borderId="10" xfId="0" applyFont="1" applyFill="1" applyBorder="1" applyAlignment="1">
      <alignment horizontal="left" vertical="center" wrapText="1" readingOrder="1"/>
    </xf>
    <xf numFmtId="174" fontId="23" fillId="0" borderId="20" xfId="14" applyNumberFormat="1" applyBorder="1" applyAlignment="1">
      <alignment horizontal="right" vertical="top"/>
    </xf>
    <xf numFmtId="172" fontId="43" fillId="0" borderId="0" xfId="0" applyFont="1" applyAlignment="1"/>
    <xf numFmtId="172" fontId="44" fillId="0" borderId="0" xfId="0" applyFont="1" applyAlignment="1"/>
    <xf numFmtId="172" fontId="43" fillId="0" borderId="0" xfId="0" applyFont="1" applyAlignment="1">
      <alignment wrapText="1"/>
    </xf>
    <xf numFmtId="172" fontId="45" fillId="0" borderId="0" xfId="0" applyFont="1" applyAlignment="1"/>
    <xf numFmtId="172" fontId="43" fillId="0" borderId="0" xfId="0" applyFont="1" applyAlignment="1">
      <alignment vertical="center"/>
    </xf>
    <xf numFmtId="174" fontId="12" fillId="12" borderId="7" xfId="28" applyNumberFormat="1" applyFill="1" applyBorder="1">
      <alignment vertical="top"/>
    </xf>
    <xf numFmtId="174" fontId="24" fillId="12" borderId="7" xfId="31" applyNumberFormat="1" applyFill="1" applyAlignment="1">
      <alignment vertical="top"/>
    </xf>
    <xf numFmtId="166" fontId="47" fillId="0" borderId="0" xfId="0" applyNumberFormat="1" applyFont="1">
      <alignment vertical="top"/>
    </xf>
    <xf numFmtId="166" fontId="48" fillId="0" borderId="0" xfId="5" applyNumberFormat="1" applyFont="1">
      <alignment horizontal="left" vertical="center"/>
    </xf>
    <xf numFmtId="172" fontId="27" fillId="24" borderId="11" xfId="0" applyFont="1" applyFill="1" applyBorder="1" applyAlignment="1">
      <alignment vertical="top" wrapText="1"/>
    </xf>
    <xf numFmtId="172" fontId="27" fillId="24" borderId="11" xfId="0" applyFont="1" applyFill="1" applyBorder="1" applyAlignment="1">
      <alignment horizontal="center" vertical="top" wrapText="1"/>
    </xf>
    <xf numFmtId="172" fontId="27" fillId="24" borderId="12" xfId="0" applyFont="1" applyFill="1" applyBorder="1" applyAlignment="1">
      <alignment horizontal="center" vertical="top" wrapText="1"/>
    </xf>
    <xf numFmtId="172" fontId="30" fillId="17" borderId="23" xfId="0" applyFont="1" applyFill="1" applyBorder="1" applyAlignment="1">
      <alignment horizontal="left" vertical="center" wrapText="1" readingOrder="1"/>
    </xf>
    <xf numFmtId="172" fontId="30" fillId="17" borderId="23" xfId="0" applyFont="1" applyFill="1" applyBorder="1" applyAlignment="1">
      <alignment horizontal="center" vertical="center" wrapText="1" readingOrder="1"/>
    </xf>
    <xf numFmtId="172" fontId="30" fillId="0" borderId="23" xfId="0" applyFont="1" applyBorder="1" applyAlignment="1">
      <alignment horizontal="left" vertical="center" wrapText="1" readingOrder="1"/>
    </xf>
    <xf numFmtId="172" fontId="30" fillId="0" borderId="23" xfId="0" applyFont="1" applyBorder="1" applyAlignment="1">
      <alignment horizontal="center" vertical="center" wrapText="1" readingOrder="1"/>
    </xf>
    <xf numFmtId="172" fontId="29" fillId="16" borderId="23" xfId="0" applyFont="1" applyFill="1" applyBorder="1" applyAlignment="1">
      <alignment horizontal="left" vertical="center" wrapText="1" readingOrder="1"/>
    </xf>
    <xf numFmtId="166" fontId="14" fillId="7" borderId="23" xfId="5" applyNumberFormat="1" applyFill="1" applyBorder="1">
      <alignment horizontal="left" vertical="center"/>
    </xf>
    <xf numFmtId="166" fontId="14" fillId="7" borderId="23" xfId="5" applyNumberFormat="1" applyFill="1" applyBorder="1" applyAlignment="1">
      <alignment horizontal="center" vertical="center"/>
    </xf>
    <xf numFmtId="166" fontId="14" fillId="7" borderId="23" xfId="5" applyNumberFormat="1" applyFill="1" applyBorder="1" applyAlignment="1">
      <alignment horizontal="center" vertical="center" wrapText="1"/>
    </xf>
    <xf numFmtId="172" fontId="52" fillId="16" borderId="23" xfId="0" applyFont="1" applyFill="1" applyBorder="1" applyAlignment="1">
      <alignment horizontal="center" vertical="top" wrapText="1"/>
    </xf>
    <xf numFmtId="172" fontId="29" fillId="16" borderId="23" xfId="0" applyFont="1" applyFill="1" applyBorder="1" applyAlignment="1">
      <alignment horizontal="center" vertical="center" wrapText="1" readingOrder="1"/>
    </xf>
    <xf numFmtId="176" fontId="0" fillId="0" borderId="0" xfId="0" applyNumberFormat="1">
      <alignment vertical="top"/>
    </xf>
    <xf numFmtId="0" fontId="34" fillId="26" borderId="0" xfId="4" applyFont="1" applyFill="1" applyProtection="1">
      <alignment horizontal="left" vertical="center"/>
      <protection locked="0"/>
    </xf>
    <xf numFmtId="0" fontId="17" fillId="26" borderId="0" xfId="4" applyFill="1" applyProtection="1">
      <alignment horizontal="left" vertical="center"/>
      <protection locked="0"/>
    </xf>
    <xf numFmtId="0" fontId="17" fillId="26" borderId="0" xfId="4" applyFill="1" applyAlignment="1" applyProtection="1">
      <alignment horizontal="center" vertical="center"/>
      <protection locked="0"/>
    </xf>
    <xf numFmtId="0" fontId="10" fillId="26" borderId="0" xfId="9" applyFill="1" applyAlignment="1" applyProtection="1">
      <alignment horizontal="left" vertical="center"/>
      <protection locked="0"/>
    </xf>
    <xf numFmtId="172" fontId="0" fillId="0" borderId="0" xfId="0" applyProtection="1">
      <alignment vertical="top"/>
      <protection locked="0"/>
    </xf>
    <xf numFmtId="166" fontId="0" fillId="0" borderId="0" xfId="0" applyNumberFormat="1" applyProtection="1">
      <alignment vertical="top"/>
      <protection locked="0"/>
    </xf>
    <xf numFmtId="166" fontId="14" fillId="0" borderId="0" xfId="5" applyNumberFormat="1" applyAlignment="1" applyProtection="1">
      <alignment horizontal="center" vertical="center"/>
      <protection locked="0"/>
    </xf>
    <xf numFmtId="166" fontId="21" fillId="0" borderId="0" xfId="6" applyNumberFormat="1" applyProtection="1">
      <alignment horizontal="left"/>
      <protection locked="0"/>
    </xf>
    <xf numFmtId="166" fontId="46" fillId="0" borderId="0" xfId="0" applyNumberFormat="1" applyFont="1" applyProtection="1">
      <alignment vertical="top"/>
      <protection locked="0"/>
    </xf>
    <xf numFmtId="0" fontId="14" fillId="0" borderId="0" xfId="5" applyAlignment="1" applyProtection="1">
      <alignment horizontal="center" vertical="center"/>
      <protection locked="0"/>
    </xf>
    <xf numFmtId="166" fontId="10" fillId="0" borderId="0" xfId="9" applyNumberFormat="1" applyAlignment="1" applyProtection="1">
      <alignment horizontal="center"/>
      <protection locked="0"/>
    </xf>
    <xf numFmtId="172" fontId="0" fillId="25" borderId="0" xfId="0" applyFill="1" applyAlignment="1" applyProtection="1">
      <alignment horizontal="center" vertical="top"/>
      <protection locked="0"/>
    </xf>
    <xf numFmtId="172" fontId="50" fillId="0" borderId="0" xfId="0" applyFont="1" applyProtection="1">
      <alignment vertical="top"/>
      <protection locked="0"/>
    </xf>
    <xf numFmtId="172" fontId="0" fillId="0" borderId="0" xfId="0" applyFill="1" applyAlignment="1" applyProtection="1">
      <alignment horizontal="center" vertical="top"/>
      <protection locked="0"/>
    </xf>
    <xf numFmtId="172" fontId="42" fillId="0" borderId="0" xfId="0" applyFont="1" applyProtection="1">
      <alignment vertical="top"/>
      <protection locked="0"/>
    </xf>
    <xf numFmtId="166" fontId="10" fillId="0" borderId="0" xfId="9" applyNumberFormat="1" applyAlignment="1" applyProtection="1">
      <alignment horizontal="left"/>
      <protection locked="0"/>
    </xf>
    <xf numFmtId="166" fontId="50" fillId="0" borderId="0" xfId="0" applyNumberFormat="1" applyFont="1" applyProtection="1">
      <alignment vertical="top"/>
      <protection locked="0"/>
    </xf>
    <xf numFmtId="172" fontId="0" fillId="0" borderId="0" xfId="0" applyAlignment="1" applyProtection="1">
      <alignment horizontal="left" vertical="top"/>
      <protection locked="0"/>
    </xf>
    <xf numFmtId="172" fontId="0" fillId="0" borderId="0" xfId="0" applyAlignment="1" applyProtection="1">
      <alignment horizontal="center" vertical="top"/>
      <protection locked="0"/>
    </xf>
    <xf numFmtId="166" fontId="0" fillId="0" borderId="0" xfId="0" applyNumberFormat="1" applyFont="1" applyProtection="1">
      <alignment vertical="top"/>
      <protection locked="0"/>
    </xf>
    <xf numFmtId="166" fontId="10" fillId="0" borderId="0" xfId="9" applyNumberFormat="1" applyAlignment="1" applyProtection="1">
      <alignment horizontal="left" vertical="top"/>
      <protection locked="0"/>
    </xf>
    <xf numFmtId="172" fontId="3" fillId="25" borderId="3" xfId="12" applyNumberFormat="1" applyFill="1" applyAlignment="1">
      <alignment horizontal="center" vertical="top"/>
      <protection locked="0"/>
    </xf>
    <xf numFmtId="172" fontId="49" fillId="0" borderId="0" xfId="0" applyFont="1" applyProtection="1">
      <alignment vertical="top"/>
      <protection locked="0"/>
    </xf>
    <xf numFmtId="177" fontId="3" fillId="25" borderId="3" xfId="12" applyNumberFormat="1" applyFill="1" applyAlignment="1">
      <alignment horizontal="center" vertical="top"/>
      <protection locked="0"/>
    </xf>
    <xf numFmtId="172" fontId="10" fillId="0" borderId="0" xfId="9" applyNumberFormat="1" applyAlignment="1" applyProtection="1">
      <alignment horizontal="center" vertical="top"/>
      <protection locked="0"/>
    </xf>
    <xf numFmtId="172" fontId="13" fillId="26" borderId="0" xfId="0" applyFont="1" applyFill="1" applyProtection="1">
      <alignment vertical="top"/>
      <protection locked="0"/>
    </xf>
    <xf numFmtId="178" fontId="0" fillId="0" borderId="0" xfId="0" applyNumberFormat="1" applyProtection="1">
      <alignment vertical="top"/>
      <protection locked="0"/>
    </xf>
    <xf numFmtId="177" fontId="0" fillId="0" borderId="0" xfId="0" applyNumberFormat="1" applyProtection="1">
      <alignment vertical="top"/>
      <protection locked="0"/>
    </xf>
    <xf numFmtId="172" fontId="13" fillId="26" borderId="0" xfId="0" applyFont="1" applyFill="1" applyProtection="1">
      <alignment vertical="top"/>
    </xf>
    <xf numFmtId="172" fontId="13" fillId="26" borderId="0" xfId="0" applyFont="1" applyFill="1" applyAlignment="1" applyProtection="1">
      <alignment horizontal="center" vertical="top"/>
    </xf>
    <xf numFmtId="172" fontId="0" fillId="0" borderId="0" xfId="0" applyProtection="1">
      <alignment vertical="top"/>
    </xf>
    <xf numFmtId="172" fontId="0" fillId="0" borderId="0" xfId="0" applyAlignment="1" applyProtection="1">
      <alignment horizontal="center" vertical="top"/>
    </xf>
    <xf numFmtId="172" fontId="13" fillId="0" borderId="0" xfId="0" applyFont="1" applyProtection="1">
      <alignment vertical="top"/>
    </xf>
    <xf numFmtId="172" fontId="0" fillId="28" borderId="0" xfId="0" applyFill="1" applyAlignment="1" applyProtection="1">
      <alignment vertical="top" wrapText="1"/>
    </xf>
    <xf numFmtId="0" fontId="10" fillId="0" borderId="0" xfId="9" applyAlignment="1" applyProtection="1">
      <alignment horizontal="left" vertical="center"/>
    </xf>
    <xf numFmtId="4" fontId="34" fillId="28" borderId="23" xfId="0" applyNumberFormat="1" applyFont="1" applyFill="1" applyBorder="1" applyAlignment="1" applyProtection="1">
      <alignment horizontal="center" vertical="top"/>
    </xf>
    <xf numFmtId="174" fontId="3" fillId="0" borderId="0" xfId="28" applyNumberFormat="1" applyFont="1" applyProtection="1">
      <alignment vertical="top"/>
    </xf>
    <xf numFmtId="4" fontId="3" fillId="27" borderId="23" xfId="0" applyNumberFormat="1" applyFont="1" applyFill="1" applyBorder="1" applyAlignment="1" applyProtection="1">
      <alignment horizontal="center" vertical="top"/>
    </xf>
    <xf numFmtId="172" fontId="0" fillId="28" borderId="0" xfId="0" applyFill="1" applyProtection="1">
      <alignment vertical="top"/>
    </xf>
    <xf numFmtId="174" fontId="34" fillId="0" borderId="0" xfId="28" applyNumberFormat="1" applyFont="1" applyAlignment="1" applyProtection="1">
      <alignment horizontal="right" vertical="top"/>
    </xf>
    <xf numFmtId="169" fontId="3" fillId="0" borderId="0" xfId="28" applyNumberFormat="1" applyFont="1" applyProtection="1">
      <alignment vertical="top"/>
    </xf>
    <xf numFmtId="174" fontId="0" fillId="0" borderId="0" xfId="28" applyNumberFormat="1" applyFont="1" applyProtection="1">
      <alignment vertical="top"/>
    </xf>
    <xf numFmtId="167" fontId="3" fillId="29" borderId="0" xfId="28" applyFont="1" applyFill="1" applyProtection="1">
      <alignment vertical="top"/>
    </xf>
    <xf numFmtId="4" fontId="3" fillId="0" borderId="0" xfId="0" applyNumberFormat="1" applyFont="1" applyAlignment="1" applyProtection="1">
      <alignment horizontal="center" vertical="top"/>
    </xf>
    <xf numFmtId="0" fontId="50" fillId="0" borderId="0" xfId="9" applyFont="1" applyAlignment="1" applyProtection="1">
      <alignment horizontal="left" vertical="center"/>
    </xf>
    <xf numFmtId="0" fontId="3" fillId="0" borderId="0" xfId="9" applyFont="1" applyAlignment="1" applyProtection="1">
      <alignment horizontal="left" vertical="center"/>
    </xf>
    <xf numFmtId="166" fontId="3" fillId="0" borderId="0" xfId="9" applyNumberFormat="1" applyFont="1" applyAlignment="1" applyProtection="1">
      <alignment horizontal="center"/>
    </xf>
    <xf numFmtId="0" fontId="10" fillId="0" borderId="0" xfId="9" applyFill="1" applyBorder="1" applyAlignment="1" applyProtection="1">
      <alignment horizontal="left" vertical="center"/>
    </xf>
    <xf numFmtId="172" fontId="0" fillId="0" borderId="0" xfId="0" applyAlignment="1">
      <alignment vertical="top" wrapText="1"/>
    </xf>
    <xf numFmtId="49" fontId="2" fillId="0" borderId="0" xfId="3" applyNumberFormat="1" applyAlignment="1">
      <alignment wrapText="1"/>
    </xf>
    <xf numFmtId="49" fontId="20" fillId="0" borderId="0" xfId="3" applyNumberFormat="1" applyFont="1" applyAlignment="1">
      <alignment vertical="top" wrapText="1"/>
    </xf>
    <xf numFmtId="14" fontId="0" fillId="0" borderId="0" xfId="0" quotePrefix="1" applyNumberFormat="1" applyAlignment="1">
      <alignment horizontal="left" wrapText="1"/>
    </xf>
    <xf numFmtId="14" fontId="0" fillId="0" borderId="0" xfId="0" applyNumberFormat="1" applyAlignment="1">
      <alignment horizontal="left" wrapText="1"/>
    </xf>
    <xf numFmtId="172" fontId="51" fillId="0" borderId="0" xfId="0" applyFont="1" applyAlignment="1">
      <alignment vertical="top" wrapText="1"/>
    </xf>
    <xf numFmtId="0" fontId="18" fillId="2" borderId="0" xfId="27" applyFill="1" applyAlignment="1">
      <alignment vertical="top" wrapText="1"/>
    </xf>
    <xf numFmtId="0" fontId="14" fillId="0" borderId="0" xfId="5" applyAlignment="1">
      <alignment horizontal="left" vertical="center" wrapText="1"/>
    </xf>
    <xf numFmtId="166" fontId="5" fillId="5" borderId="0" xfId="0" applyNumberFormat="1" applyFont="1" applyFill="1" applyAlignment="1">
      <alignment vertical="top" wrapText="1"/>
    </xf>
    <xf numFmtId="166" fontId="5" fillId="5" borderId="0" xfId="0" applyNumberFormat="1" applyFont="1" applyFill="1" applyAlignment="1">
      <alignment horizontal="left" wrapText="1"/>
    </xf>
    <xf numFmtId="0" fontId="0" fillId="0" borderId="0" xfId="0" applyNumberFormat="1" applyAlignment="1">
      <alignment horizontal="left" wrapText="1"/>
    </xf>
    <xf numFmtId="49" fontId="0" fillId="0" borderId="0" xfId="0" applyNumberFormat="1" applyAlignment="1">
      <alignment horizontal="left" wrapText="1"/>
    </xf>
    <xf numFmtId="172" fontId="21" fillId="0" borderId="0" xfId="6" applyNumberFormat="1" applyAlignment="1">
      <alignment horizontal="left" wrapText="1"/>
    </xf>
    <xf numFmtId="166" fontId="0" fillId="0" borderId="0" xfId="0" applyNumberFormat="1" applyAlignment="1">
      <alignment vertical="top" wrapText="1"/>
    </xf>
    <xf numFmtId="0" fontId="0" fillId="18" borderId="0" xfId="10" applyFont="1" applyAlignment="1">
      <alignment wrapText="1"/>
    </xf>
    <xf numFmtId="166" fontId="0" fillId="0" borderId="0" xfId="0" applyNumberFormat="1" applyAlignment="1">
      <alignment horizontal="left" wrapText="1"/>
    </xf>
    <xf numFmtId="166" fontId="12" fillId="13" borderId="2" xfId="11" applyAlignment="1">
      <alignment wrapText="1"/>
      <protection locked="0"/>
    </xf>
    <xf numFmtId="49" fontId="13" fillId="0" borderId="0" xfId="0" applyNumberFormat="1" applyFont="1" applyAlignment="1">
      <alignment horizontal="left" wrapText="1"/>
    </xf>
    <xf numFmtId="14" fontId="13" fillId="0" borderId="0" xfId="0" applyNumberFormat="1" applyFont="1" applyAlignment="1">
      <alignment horizontal="left" wrapText="1"/>
    </xf>
    <xf numFmtId="172" fontId="13" fillId="0" borderId="0" xfId="0" applyFont="1" applyAlignment="1">
      <alignment vertical="top" wrapText="1"/>
    </xf>
    <xf numFmtId="166" fontId="3" fillId="3" borderId="3" xfId="12" applyAlignment="1">
      <alignment horizontal="left" wrapText="1"/>
      <protection locked="0"/>
    </xf>
    <xf numFmtId="173" fontId="12" fillId="12" borderId="7" xfId="7" applyAlignment="1">
      <alignment wrapText="1"/>
    </xf>
    <xf numFmtId="166" fontId="3" fillId="19" borderId="22" xfId="13" applyAlignment="1">
      <alignment wrapText="1"/>
    </xf>
    <xf numFmtId="166" fontId="24" fillId="0" borderId="7" xfId="31" applyNumberFormat="1" applyAlignment="1">
      <alignment horizontal="left" vertical="top" wrapText="1"/>
    </xf>
    <xf numFmtId="171" fontId="23" fillId="0" borderId="7" xfId="14" applyNumberFormat="1" applyAlignment="1">
      <alignment vertical="top" wrapText="1"/>
    </xf>
    <xf numFmtId="171" fontId="25" fillId="0" borderId="0" xfId="8" applyNumberFormat="1" applyAlignment="1">
      <alignment vertical="top" wrapText="1"/>
    </xf>
    <xf numFmtId="171" fontId="10" fillId="0" borderId="0" xfId="9" applyNumberFormat="1" applyAlignment="1">
      <alignment vertical="top" wrapText="1"/>
    </xf>
    <xf numFmtId="166" fontId="0" fillId="2" borderId="0" xfId="0" applyNumberFormat="1" applyFill="1" applyAlignment="1">
      <alignment vertical="top" wrapText="1"/>
    </xf>
    <xf numFmtId="166" fontId="5" fillId="20" borderId="0" xfId="0" applyNumberFormat="1" applyFont="1" applyFill="1" applyAlignment="1">
      <alignment vertical="top" wrapText="1"/>
    </xf>
    <xf numFmtId="166" fontId="5" fillId="21" borderId="0" xfId="0" applyNumberFormat="1" applyFont="1" applyFill="1" applyAlignment="1">
      <alignment vertical="top" wrapText="1"/>
    </xf>
    <xf numFmtId="49" fontId="0" fillId="0" borderId="0" xfId="0" applyNumberFormat="1" applyAlignment="1">
      <alignment vertical="top" wrapText="1"/>
    </xf>
    <xf numFmtId="166" fontId="5" fillId="7" borderId="0" xfId="0" applyNumberFormat="1" applyFont="1" applyFill="1" applyAlignment="1">
      <alignment vertical="top" wrapText="1"/>
    </xf>
    <xf numFmtId="166" fontId="5" fillId="4" borderId="0" xfId="0" applyNumberFormat="1" applyFont="1" applyFill="1" applyAlignment="1">
      <alignment vertical="top" wrapText="1"/>
    </xf>
    <xf numFmtId="166" fontId="3" fillId="9" borderId="0" xfId="0" applyNumberFormat="1" applyFont="1" applyFill="1" applyAlignment="1">
      <alignment vertical="top" wrapText="1"/>
    </xf>
    <xf numFmtId="172" fontId="38" fillId="0" borderId="0" xfId="0" applyFont="1" applyAlignment="1">
      <alignment wrapText="1"/>
    </xf>
    <xf numFmtId="172" fontId="40" fillId="22" borderId="0" xfId="0" applyFont="1" applyFill="1" applyAlignment="1">
      <alignment wrapText="1"/>
    </xf>
    <xf numFmtId="172" fontId="40" fillId="0" borderId="0" xfId="0" applyFont="1" applyFill="1" applyAlignment="1">
      <alignment wrapText="1"/>
    </xf>
    <xf numFmtId="172" fontId="0" fillId="0" borderId="0" xfId="0" applyFill="1" applyAlignment="1">
      <alignment vertical="top" wrapText="1"/>
    </xf>
    <xf numFmtId="0" fontId="6" fillId="7" borderId="0" xfId="15" applyAlignment="1">
      <alignment horizontal="left" vertical="center" wrapText="1"/>
    </xf>
    <xf numFmtId="0" fontId="6" fillId="0" borderId="0" xfId="15" applyFill="1" applyAlignment="1">
      <alignment horizontal="left" vertical="center" wrapText="1"/>
    </xf>
    <xf numFmtId="0" fontId="6" fillId="0" borderId="0" xfId="15" applyFill="1" applyAlignment="1">
      <alignment horizontal="right" vertical="center" wrapText="1"/>
    </xf>
    <xf numFmtId="0" fontId="6" fillId="7" borderId="0" xfId="15" applyAlignment="1">
      <alignment horizontal="right" vertical="center" wrapText="1"/>
    </xf>
    <xf numFmtId="166" fontId="0" fillId="0" borderId="0" xfId="0" applyNumberFormat="1" applyFill="1" applyAlignment="1">
      <alignment vertical="top" wrapText="1"/>
    </xf>
    <xf numFmtId="172" fontId="0" fillId="0" borderId="23" xfId="0" applyBorder="1" applyAlignment="1">
      <alignment horizontal="center" vertical="center" wrapText="1"/>
    </xf>
    <xf numFmtId="172" fontId="0" fillId="0" borderId="0" xfId="0" applyBorder="1" applyAlignment="1">
      <alignment vertical="center" wrapText="1"/>
    </xf>
    <xf numFmtId="172" fontId="0" fillId="0" borderId="0" xfId="0" applyBorder="1" applyAlignment="1">
      <alignment horizontal="center" vertical="center" wrapText="1"/>
    </xf>
    <xf numFmtId="0" fontId="6" fillId="7" borderId="0" xfId="15" applyAlignment="1">
      <alignment horizontal="center" vertical="center" wrapText="1"/>
    </xf>
    <xf numFmtId="166" fontId="5" fillId="5" borderId="0" xfId="0" applyNumberFormat="1" applyFont="1" applyFill="1" applyAlignment="1">
      <alignment vertical="center" wrapText="1"/>
    </xf>
    <xf numFmtId="166" fontId="5" fillId="5" borderId="0" xfId="0" applyNumberFormat="1" applyFont="1" applyFill="1" applyAlignment="1">
      <alignment horizontal="center" vertical="center" wrapText="1"/>
    </xf>
    <xf numFmtId="49" fontId="0" fillId="0" borderId="0" xfId="0" applyNumberFormat="1" applyFont="1" applyBorder="1" applyAlignment="1">
      <alignment horizontal="left" vertical="center" wrapText="1"/>
    </xf>
    <xf numFmtId="0" fontId="17" fillId="5" borderId="0" xfId="4" applyAlignment="1">
      <alignment horizontal="left" vertical="center" wrapText="1"/>
    </xf>
    <xf numFmtId="0" fontId="10" fillId="5" borderId="0" xfId="9" applyFill="1" applyAlignment="1">
      <alignment horizontal="left" vertical="center" wrapText="1"/>
    </xf>
    <xf numFmtId="0" fontId="17" fillId="5" borderId="0" xfId="4" applyAlignment="1">
      <alignment horizontal="right" vertical="center" wrapText="1"/>
    </xf>
    <xf numFmtId="0" fontId="5" fillId="5" borderId="0" xfId="4" applyFont="1" applyAlignment="1">
      <alignment horizontal="right" vertical="center" wrapText="1"/>
    </xf>
    <xf numFmtId="49" fontId="0" fillId="0" borderId="23" xfId="0" applyNumberFormat="1" applyFont="1" applyBorder="1" applyAlignment="1">
      <alignment horizontal="left" vertical="center" wrapText="1"/>
    </xf>
    <xf numFmtId="172" fontId="40" fillId="22" borderId="0" xfId="0" applyFont="1" applyFill="1" applyAlignment="1">
      <alignment wrapText="1"/>
    </xf>
    <xf numFmtId="166" fontId="5" fillId="5" borderId="0" xfId="0" applyNumberFormat="1" applyFont="1" applyFill="1" applyBorder="1" applyAlignment="1">
      <alignment horizontal="left" vertical="top" wrapText="1"/>
    </xf>
    <xf numFmtId="172" fontId="0" fillId="0" borderId="23" xfId="0" applyFont="1" applyBorder="1" applyAlignment="1">
      <alignment horizontal="left" vertical="top" wrapText="1"/>
    </xf>
    <xf numFmtId="172" fontId="0" fillId="0" borderId="23" xfId="0" applyFont="1" applyFill="1" applyBorder="1" applyAlignment="1">
      <alignment horizontal="left" vertical="top" wrapText="1"/>
    </xf>
    <xf numFmtId="49" fontId="11" fillId="0" borderId="0" xfId="0" applyNumberFormat="1" applyFont="1" applyAlignment="1">
      <alignment horizontal="left" vertical="top" wrapText="1"/>
    </xf>
    <xf numFmtId="49" fontId="19" fillId="2" borderId="0" xfId="0" applyNumberFormat="1" applyFont="1" applyFill="1" applyAlignment="1">
      <alignment horizontal="left" vertical="top" wrapText="1"/>
    </xf>
    <xf numFmtId="166" fontId="0" fillId="0" borderId="0" xfId="0" applyNumberFormat="1" applyFont="1" applyAlignment="1">
      <alignment vertical="top" wrapText="1"/>
    </xf>
    <xf numFmtId="172" fontId="39" fillId="22" borderId="0" xfId="0" applyFont="1" applyFill="1" applyAlignment="1">
      <alignment wrapText="1"/>
    </xf>
    <xf numFmtId="0" fontId="10" fillId="0" borderId="0" xfId="9" applyAlignment="1" applyProtection="1">
      <alignment horizontal="center" vertical="top" wrapText="1"/>
      <protection locked="0"/>
    </xf>
    <xf numFmtId="0" fontId="10" fillId="0" borderId="0" xfId="9" applyAlignment="1">
      <alignment horizontal="center" vertical="top" wrapText="1"/>
    </xf>
    <xf numFmtId="172" fontId="29" fillId="16" borderId="10" xfId="0" applyFont="1" applyFill="1" applyBorder="1" applyAlignment="1">
      <alignment horizontal="left" vertical="center" wrapText="1" readingOrder="1"/>
    </xf>
    <xf numFmtId="172" fontId="29" fillId="16" borderId="11" xfId="0" applyFont="1" applyFill="1" applyBorder="1" applyAlignment="1">
      <alignment horizontal="left" vertical="center" wrapText="1" readingOrder="1"/>
    </xf>
    <xf numFmtId="172" fontId="29" fillId="16" borderId="12" xfId="0" applyFont="1" applyFill="1" applyBorder="1" applyAlignment="1">
      <alignment horizontal="left" vertical="center" wrapText="1" readingOrder="1"/>
    </xf>
    <xf numFmtId="172" fontId="28" fillId="15" borderId="10" xfId="0" applyFont="1" applyFill="1" applyBorder="1" applyAlignment="1">
      <alignment horizontal="left" vertical="center" wrapText="1" readingOrder="1"/>
    </xf>
    <xf numFmtId="172" fontId="28" fillId="15" borderId="11" xfId="0" applyFont="1" applyFill="1" applyBorder="1" applyAlignment="1">
      <alignment horizontal="left" vertical="center" wrapText="1" readingOrder="1"/>
    </xf>
    <xf numFmtId="172" fontId="28" fillId="15" borderId="12" xfId="0" applyFont="1" applyFill="1" applyBorder="1" applyAlignment="1">
      <alignment horizontal="left" vertical="center" wrapText="1" readingOrder="1"/>
    </xf>
    <xf numFmtId="166" fontId="14" fillId="7" borderId="24" xfId="5" applyNumberFormat="1" applyFill="1" applyBorder="1">
      <alignment horizontal="left" vertical="center"/>
    </xf>
    <xf numFmtId="166" fontId="14" fillId="7" borderId="25" xfId="5" applyNumberFormat="1" applyFill="1" applyBorder="1">
      <alignment horizontal="left" vertical="center"/>
    </xf>
    <xf numFmtId="0" fontId="10" fillId="0" borderId="0" xfId="9" applyAlignment="1">
      <alignment horizontal="center" wrapText="1"/>
    </xf>
    <xf numFmtId="49" fontId="0" fillId="0" borderId="0" xfId="0" applyNumberFormat="1" applyAlignment="1">
      <alignment horizontal="left" vertical="center" wrapText="1"/>
    </xf>
    <xf numFmtId="14" fontId="0" fillId="0" borderId="0" xfId="0" applyNumberFormat="1" applyAlignment="1">
      <alignment horizontal="left" vertical="center" wrapText="1"/>
    </xf>
    <xf numFmtId="172" fontId="0" fillId="0" borderId="0" xfId="0" applyAlignment="1">
      <alignment vertical="center" wrapText="1"/>
    </xf>
  </cellXfs>
  <cellStyles count="32">
    <cellStyle name="Blank" xfId="10" xr:uid="{6F8C9B7A-5753-4CC2-9357-1897D8D36160}"/>
    <cellStyle name="Calculation" xfId="7" builtinId="22" customBuiltin="1"/>
    <cellStyle name="Check Cell" xfId="29" builtinId="23" customBuiltin="1"/>
    <cellStyle name="Column Head" xfId="15" xr:uid="{6CB1F8E2-7B7F-4F3C-A767-20F4ED41B679}"/>
    <cellStyle name="Comma" xfId="1" builtinId="3" hidden="1"/>
    <cellStyle name="Comma [0]" xfId="24" builtinId="6" hidden="1"/>
    <cellStyle name="Currency" xfId="25" builtinId="4" hidden="1"/>
    <cellStyle name="Currency [0]" xfId="26" builtinId="7" hidden="1"/>
    <cellStyle name="End" xfId="19" xr:uid="{9AAE7D78-F2B7-490A-8503-5995A80C9AF3}"/>
    <cellStyle name="Explanatory Text" xfId="9" builtinId="53" customBuiltin="1"/>
    <cellStyle name="From Elsewhere" xfId="14" xr:uid="{AB00C835-CBB4-4794-B0E3-CC9297AEEB25}"/>
    <cellStyle name="Heading 1" xfId="4" builtinId="16" customBuiltin="1"/>
    <cellStyle name="Heading 2" xfId="5" builtinId="17" customBuiltin="1"/>
    <cellStyle name="Heading 3" xfId="6" builtinId="18" customBuiltin="1"/>
    <cellStyle name="Heading 4" xfId="23" builtinId="19" customBuiltin="1"/>
    <cellStyle name="Hyperlink" xfId="27" builtinId="8" customBuiltin="1"/>
    <cellStyle name="Input" xfId="16" builtinId="20" hidden="1" customBuiltin="1"/>
    <cellStyle name="Input (Fixed)" xfId="11" xr:uid="{17AC8B73-D4C8-44A1-9354-B5F01893807E}"/>
    <cellStyle name="Input (User)" xfId="12" xr:uid="{E7C81BFE-494E-456C-9BDC-ECBBFB847F6F}"/>
    <cellStyle name="Linked Cell" xfId="21" builtinId="24" hidden="1"/>
    <cellStyle name="Normal" xfId="0" builtinId="0" customBuiltin="1"/>
    <cellStyle name="Note" xfId="22" builtinId="10" hidden="1"/>
    <cellStyle name="Output" xfId="30" builtinId="21" customBuiltin="1"/>
    <cellStyle name="Percent" xfId="2" builtinId="5" hidden="1" customBuiltin="1"/>
    <cellStyle name="Percent" xfId="28" xr:uid="{2D56A3A0-C6B9-4A13-85CE-E3DE260AE0B6}"/>
    <cellStyle name="Tab Subtitle" xfId="18" xr:uid="{CFC5BC38-AC6C-40D9-8C3C-B0BA5273E17F}"/>
    <cellStyle name="Tab Title" xfId="17" xr:uid="{2D2FE35B-C679-4749-AE8D-D16576D9FDA1}"/>
    <cellStyle name="Title" xfId="3" builtinId="15"/>
    <cellStyle name="Total" xfId="20" builtinId="25" customBuiltin="1"/>
    <cellStyle name="Unique Formula" xfId="13" xr:uid="{E9700484-7120-453C-99DA-346BFE94F54A}"/>
    <cellStyle name="Used elsewhere" xfId="31" xr:uid="{3D199E84-775D-4810-8150-C7F3E32D8183}"/>
    <cellStyle name="Warning Text" xfId="8" builtinId="11" customBuiltin="1"/>
  </cellStyles>
  <dxfs count="18">
    <dxf>
      <fill>
        <patternFill>
          <bgColor theme="7"/>
        </patternFill>
      </fill>
    </dxf>
    <dxf>
      <fill>
        <patternFill>
          <bgColor theme="4"/>
        </patternFill>
      </fill>
    </dxf>
    <dxf>
      <fill>
        <patternFill>
          <bgColor theme="7"/>
        </patternFill>
      </fill>
    </dxf>
    <dxf>
      <fill>
        <patternFill>
          <bgColor theme="4"/>
        </patternFill>
      </fill>
    </dxf>
    <dxf>
      <fill>
        <patternFill>
          <bgColor theme="7"/>
        </patternFill>
      </fill>
    </dxf>
    <dxf>
      <fill>
        <patternFill>
          <bgColor theme="4"/>
        </patternFill>
      </fill>
    </dxf>
    <dxf>
      <alignment textRotation="0" wrapText="1" indent="0" justifyLastLine="0" shrinkToFit="0" readingOrder="0"/>
    </dxf>
    <dxf>
      <alignment textRotation="0" wrapText="1" indent="0" justifyLastLine="0" shrinkToFit="0" readingOrder="0"/>
    </dxf>
    <dxf>
      <alignment horizontal="left" vertical="bottom" textRotation="0" wrapText="1" indent="0" justifyLastLine="0" shrinkToFit="0" readingOrder="0"/>
    </dxf>
    <dxf>
      <numFmt numFmtId="30" formatCode="@"/>
      <alignment textRotation="0" wrapText="1" indent="0" justifyLastLine="0" shrinkToFit="0" readingOrder="0"/>
    </dxf>
    <dxf>
      <alignment textRotation="0" wrapText="1" indent="0" justifyLastLine="0" shrinkToFit="0" readingOrder="0"/>
    </dxf>
    <dxf>
      <font>
        <strike val="0"/>
        <outline val="0"/>
        <shadow val="0"/>
        <u val="none"/>
        <vertAlign val="baseline"/>
        <sz val="10"/>
        <color theme="0"/>
        <name val="Arial Nova"/>
        <family val="2"/>
        <scheme val="minor"/>
      </font>
      <fill>
        <patternFill patternType="solid">
          <fgColor indexed="64"/>
          <bgColor theme="3"/>
        </patternFill>
      </fill>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left" vertical="bottom" textRotation="0" wrapText="1" indent="0" justifyLastLine="0" shrinkToFit="0" readingOrder="0"/>
    </dxf>
    <dxf>
      <numFmt numFmtId="30" formatCode="@"/>
      <alignment horizontal="left" vertical="bottom" textRotation="0" wrapText="1" indent="0" justifyLastLine="0" shrinkToFit="0" readingOrder="0"/>
    </dxf>
    <dxf>
      <alignment textRotation="0" wrapText="1" indent="0" justifyLastLine="0" shrinkToFit="0" readingOrder="0"/>
    </dxf>
    <dxf>
      <font>
        <strike val="0"/>
        <outline val="0"/>
        <shadow val="0"/>
        <u val="none"/>
        <vertAlign val="baseline"/>
        <sz val="10"/>
        <color theme="0"/>
        <name val="Arial Nova"/>
        <family val="2"/>
        <scheme val="minor"/>
      </font>
      <fill>
        <patternFill patternType="solid">
          <fgColor indexed="64"/>
          <bgColor theme="3"/>
        </patternFill>
      </fill>
      <alignment textRotation="0" wrapText="1" indent="0" justifyLastLine="0" shrinkToFit="0" readingOrder="0"/>
    </dxf>
  </dxfs>
  <tableStyles count="0" defaultTableStyle="TableStyleMedium2" defaultPivotStyle="PivotStyleLight16"/>
  <colors>
    <mruColors>
      <color rgb="FF5A85D7"/>
      <color rgb="FFB8D7A1"/>
      <color rgb="FFC3DBEE"/>
      <color rgb="FFF3CF45"/>
      <color rgb="FF930A06"/>
      <color rgb="FF009AA6"/>
      <color rgb="FF00863D"/>
      <color rgb="FF6D65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173568</xdr:colOff>
      <xdr:row>1</xdr:row>
      <xdr:rowOff>281517</xdr:rowOff>
    </xdr:from>
    <xdr:to>
      <xdr:col>3</xdr:col>
      <xdr:colOff>582085</xdr:colOff>
      <xdr:row>1</xdr:row>
      <xdr:rowOff>1035101</xdr:rowOff>
    </xdr:to>
    <xdr:pic>
      <xdr:nvPicPr>
        <xdr:cNvPr id="2" name="Picture 1">
          <a:extLst>
            <a:ext uri="{FF2B5EF4-FFF2-40B4-BE49-F238E27FC236}">
              <a16:creationId xmlns:a16="http://schemas.microsoft.com/office/drawing/2014/main" id="{0145AFCE-41ED-4348-8636-FEE4A5871BA0}"/>
            </a:ext>
          </a:extLst>
        </xdr:cNvPr>
        <xdr:cNvPicPr>
          <a:picLocks noChangeAspect="1"/>
        </xdr:cNvPicPr>
      </xdr:nvPicPr>
      <xdr:blipFill>
        <a:blip xmlns:r="http://schemas.openxmlformats.org/officeDocument/2006/relationships" r:embed="rId1"/>
        <a:stretch>
          <a:fillRect/>
        </a:stretch>
      </xdr:blipFill>
      <xdr:spPr>
        <a:xfrm>
          <a:off x="173568" y="440267"/>
          <a:ext cx="1812925" cy="7927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23813</xdr:rowOff>
    </xdr:from>
    <xdr:to>
      <xdr:col>3</xdr:col>
      <xdr:colOff>1485</xdr:colOff>
      <xdr:row>9</xdr:row>
      <xdr:rowOff>16947</xdr:rowOff>
    </xdr:to>
    <xdr:pic>
      <xdr:nvPicPr>
        <xdr:cNvPr id="3" name="Picture 2">
          <a:extLst>
            <a:ext uri="{FF2B5EF4-FFF2-40B4-BE49-F238E27FC236}">
              <a16:creationId xmlns:a16="http://schemas.microsoft.com/office/drawing/2014/main" id="{D06C6D23-8BB4-41D7-9792-342D61086917}"/>
            </a:ext>
          </a:extLst>
        </xdr:cNvPr>
        <xdr:cNvPicPr>
          <a:picLocks noChangeAspect="1"/>
        </xdr:cNvPicPr>
      </xdr:nvPicPr>
      <xdr:blipFill>
        <a:blip xmlns:r="http://schemas.openxmlformats.org/officeDocument/2006/relationships" r:embed="rId1"/>
        <a:stretch>
          <a:fillRect/>
        </a:stretch>
      </xdr:blipFill>
      <xdr:spPr>
        <a:xfrm>
          <a:off x="0" y="404813"/>
          <a:ext cx="2597048" cy="1159947"/>
        </a:xfrm>
        <a:prstGeom prst="rect">
          <a:avLst/>
        </a:prstGeom>
      </xdr:spPr>
    </xdr:pic>
    <xdr:clientData/>
  </xdr:twoCellAnchor>
  <xdr:oneCellAnchor>
    <xdr:from>
      <xdr:col>0</xdr:col>
      <xdr:colOff>160337</xdr:colOff>
      <xdr:row>13</xdr:row>
      <xdr:rowOff>142875</xdr:rowOff>
    </xdr:from>
    <xdr:ext cx="21044065" cy="5572125"/>
    <xdr:sp macro="" textlink="">
      <xdr:nvSpPr>
        <xdr:cNvPr id="9" name="TextBox 8">
          <a:extLst>
            <a:ext uri="{FF2B5EF4-FFF2-40B4-BE49-F238E27FC236}">
              <a16:creationId xmlns:a16="http://schemas.microsoft.com/office/drawing/2014/main" id="{32F68EF7-BDCE-42CE-8441-59BA1C2267D0}"/>
            </a:ext>
          </a:extLst>
        </xdr:cNvPr>
        <xdr:cNvSpPr txBox="1"/>
      </xdr:nvSpPr>
      <xdr:spPr>
        <a:xfrm>
          <a:off x="160337" y="2333625"/>
          <a:ext cx="21044065" cy="5572125"/>
        </a:xfrm>
        <a:prstGeom prst="rect">
          <a:avLst/>
        </a:prstGeom>
        <a:solidFill>
          <a:schemeClr val="accent2"/>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400"/>
            <a:t>This sheet provides guidance on</a:t>
          </a:r>
          <a:r>
            <a:rPr lang="en-GB" sz="1400" baseline="0"/>
            <a:t> using Yorkshire Water's BSP model for NAVs.</a:t>
          </a:r>
        </a:p>
        <a:p>
          <a:endParaRPr lang="en-GB" sz="1400" baseline="0"/>
        </a:p>
        <a:p>
          <a:pPr marL="0" marR="0" lvl="0" indent="0" defTabSz="914400" eaLnBrk="1" fontAlgn="auto" latinLnBrk="0" hangingPunct="1">
            <a:lnSpc>
              <a:spcPct val="100000"/>
            </a:lnSpc>
            <a:spcBef>
              <a:spcPts val="0"/>
            </a:spcBef>
            <a:spcAft>
              <a:spcPts val="0"/>
            </a:spcAft>
            <a:buClrTx/>
            <a:buSzTx/>
            <a:buFontTx/>
            <a:buNone/>
            <a:tabLst/>
            <a:defRPr/>
          </a:pPr>
          <a:r>
            <a:rPr lang="en-GB" sz="1400" baseline="0"/>
            <a:t>The model calculates a menu of tariffs for water and/or wastewater services. It has been tested for a range of cases (from very dense to very sparse sites) and it has proven to work accurately for the vast majority of them. However, in case of unusual instances or when a NAV requires bespoke elements added or deducted from the final tariffs, additional manual adjustments might be needed. </a:t>
          </a:r>
          <a:r>
            <a:rPr lang="en-GB" sz="1400">
              <a:solidFill>
                <a:schemeClr val="tx1"/>
              </a:solidFill>
              <a:effectLst/>
              <a:latin typeface="+mn-lt"/>
              <a:ea typeface="+mn-ea"/>
              <a:cs typeface="+mn-cs"/>
            </a:rPr>
            <a:t>The model l is designed</a:t>
          </a:r>
          <a:r>
            <a:rPr lang="en-GB" sz="1400" baseline="0">
              <a:solidFill>
                <a:schemeClr val="tx1"/>
              </a:solidFill>
              <a:effectLst/>
              <a:latin typeface="+mn-lt"/>
              <a:ea typeface="+mn-ea"/>
              <a:cs typeface="+mn-cs"/>
            </a:rPr>
            <a:t> in a way that the user only needs to use one sheet ("</a:t>
          </a:r>
          <a:r>
            <a:rPr lang="en-GB" sz="1400" b="1" baseline="0">
              <a:solidFill>
                <a:schemeClr val="tx1"/>
              </a:solidFill>
              <a:effectLst/>
              <a:latin typeface="+mn-lt"/>
              <a:ea typeface="+mn-ea"/>
              <a:cs typeface="+mn-cs"/>
            </a:rPr>
            <a:t>Dashboard</a:t>
          </a:r>
          <a:r>
            <a:rPr lang="en-GB" sz="1400" baseline="0">
              <a:solidFill>
                <a:schemeClr val="tx1"/>
              </a:solidFill>
              <a:effectLst/>
              <a:latin typeface="+mn-lt"/>
              <a:ea typeface="+mn-ea"/>
              <a:cs typeface="+mn-cs"/>
            </a:rPr>
            <a:t>") in the workbook. The user starts by providing the input data, and gets the final tariffs at the end of the sheet.</a:t>
          </a:r>
          <a:endParaRPr lang="en-GB"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tx1"/>
              </a:solidFill>
              <a:effectLst/>
              <a:latin typeface="+mn-lt"/>
              <a:ea typeface="+mn-ea"/>
              <a:cs typeface="+mn-cs"/>
            </a:rPr>
            <a:t>Some of the model elements are provided by the NAV and some are calculated fields.</a:t>
          </a:r>
        </a:p>
        <a:p>
          <a:pPr marL="0" marR="0" lvl="0" indent="0" defTabSz="914400" eaLnBrk="1" fontAlgn="auto" latinLnBrk="0" hangingPunct="1">
            <a:lnSpc>
              <a:spcPct val="100000"/>
            </a:lnSpc>
            <a:spcBef>
              <a:spcPts val="0"/>
            </a:spcBef>
            <a:spcAft>
              <a:spcPts val="0"/>
            </a:spcAft>
            <a:buClrTx/>
            <a:buSzTx/>
            <a:buFontTx/>
            <a:buNone/>
            <a:tabLst/>
            <a:defRPr/>
          </a:pPr>
          <a:endParaRPr lang="en-GB" sz="14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solidFill>
                <a:schemeClr val="tx1"/>
              </a:solidFill>
              <a:effectLst/>
              <a:latin typeface="+mn-lt"/>
              <a:ea typeface="+mn-ea"/>
              <a:cs typeface="+mn-cs"/>
            </a:rPr>
            <a:t>To make the model better understood by</a:t>
          </a:r>
          <a:r>
            <a:rPr lang="en-GB" sz="1400" baseline="0">
              <a:solidFill>
                <a:schemeClr val="tx1"/>
              </a:solidFill>
              <a:effectLst/>
              <a:latin typeface="+mn-lt"/>
              <a:ea typeface="+mn-ea"/>
              <a:cs typeface="+mn-cs"/>
            </a:rPr>
            <a:t> the user, we added a process map demonstrating how the source data and the NAV input data are used to calculate the menu of tariffs. There are 6 numbered steps in the process map, to help the user understand the calculation steps. The process map is pictured below:</a:t>
          </a:r>
        </a:p>
        <a:p>
          <a:pPr marL="0" marR="0" lvl="0" indent="0" defTabSz="914400" eaLnBrk="1" fontAlgn="auto" latinLnBrk="0" hangingPunct="1">
            <a:lnSpc>
              <a:spcPct val="100000"/>
            </a:lnSpc>
            <a:spcBef>
              <a:spcPts val="0"/>
            </a:spcBef>
            <a:spcAft>
              <a:spcPts val="0"/>
            </a:spcAft>
            <a:buClrTx/>
            <a:buSzTx/>
            <a:buFontTx/>
            <a:buNone/>
            <a:tabLst/>
            <a:defRPr/>
          </a:pPr>
          <a:endParaRPr lang="en-GB" sz="1400"/>
        </a:p>
        <a:p>
          <a:r>
            <a:rPr lang="en-GB" sz="1400" b="1"/>
            <a:t>Process map:</a:t>
          </a:r>
        </a:p>
        <a:p>
          <a:endParaRPr lang="en-GB" sz="1400"/>
        </a:p>
        <a:p>
          <a:r>
            <a:rPr lang="en-GB" sz="1400"/>
            <a:t>                 In the "</a:t>
          </a:r>
          <a:r>
            <a:rPr lang="en-GB" sz="1400" b="1"/>
            <a:t>Dashboard</a:t>
          </a:r>
          <a:r>
            <a:rPr lang="en-GB" sz="1400" baseline="0"/>
            <a:t>" </a:t>
          </a:r>
          <a:r>
            <a:rPr lang="en-GB" sz="1400" baseline="0">
              <a:solidFill>
                <a:schemeClr val="tx1"/>
              </a:solidFill>
              <a:effectLst/>
              <a:latin typeface="+mn-lt"/>
              <a:ea typeface="+mn-ea"/>
              <a:cs typeface="+mn-cs"/>
            </a:rPr>
            <a:t>worksheet</a:t>
          </a:r>
          <a:r>
            <a:rPr lang="en-GB" sz="1400" baseline="0"/>
            <a:t>, a user provides the </a:t>
          </a:r>
          <a:r>
            <a:rPr lang="en-GB" sz="1400"/>
            <a:t>input</a:t>
          </a:r>
          <a:r>
            <a:rPr lang="en-GB" sz="1400" baseline="0"/>
            <a:t> data; water and/or wastewater services, , nr of HH and/or NH properties, water demand for HH and/or NH, estimated wastewater discharge.</a:t>
          </a:r>
        </a:p>
        <a:p>
          <a:endParaRPr lang="en-GB" sz="1400" baseline="0"/>
        </a:p>
        <a:p>
          <a:pPr marL="0" marR="0" lvl="0" indent="0" defTabSz="914400" eaLnBrk="1" fontAlgn="auto" latinLnBrk="0" hangingPunct="1">
            <a:lnSpc>
              <a:spcPct val="100000"/>
            </a:lnSpc>
            <a:spcBef>
              <a:spcPts val="0"/>
            </a:spcBef>
            <a:spcAft>
              <a:spcPts val="0"/>
            </a:spcAft>
            <a:buClrTx/>
            <a:buSzTx/>
            <a:buFontTx/>
            <a:buNone/>
            <a:tabLst/>
            <a:defRPr/>
          </a:pPr>
          <a:r>
            <a:rPr lang="en-GB" sz="1400" baseline="0"/>
            <a:t>                 Based on t</a:t>
          </a:r>
          <a:r>
            <a:rPr lang="en-GB" sz="1400" baseline="0">
              <a:solidFill>
                <a:schemeClr val="tx1"/>
              </a:solidFill>
              <a:effectLst/>
              <a:latin typeface="+mn-lt"/>
              <a:ea typeface="+mn-ea"/>
              <a:cs typeface="+mn-cs"/>
            </a:rPr>
            <a:t>he input data, the appropriate wholesale charges are selected. Next, the weighted starting point (p/m3) for water and waste is calculated by plugging the wholesale charges and the NAV input data into the </a:t>
          </a:r>
          <a:r>
            <a:rPr lang="en-GB" sz="1400" b="1" baseline="0">
              <a:solidFill>
                <a:schemeClr val="tx1"/>
              </a:solidFill>
              <a:effectLst/>
              <a:latin typeface="+mn-lt"/>
              <a:ea typeface="+mn-ea"/>
              <a:cs typeface="+mn-cs"/>
            </a:rPr>
            <a:t>Tariff Formula</a:t>
          </a:r>
          <a:r>
            <a:rPr lang="en-GB" sz="1400" baseline="0">
              <a:solidFill>
                <a:schemeClr val="tx1"/>
              </a:solidFill>
              <a:effectLst/>
              <a:latin typeface="+mn-lt"/>
              <a:ea typeface="+mn-ea"/>
              <a:cs typeface="+mn-cs"/>
            </a:rPr>
            <a:t>.</a:t>
          </a:r>
          <a:endParaRPr lang="en-GB" sz="14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400">
              <a:effectLst/>
            </a:rPr>
            <a:t>                </a:t>
          </a:r>
        </a:p>
        <a:p>
          <a:r>
            <a:rPr lang="en-GB" sz="1400" baseline="0"/>
            <a:t>                 </a:t>
          </a:r>
          <a:r>
            <a:rPr lang="en-GB" sz="1400" baseline="0">
              <a:solidFill>
                <a:schemeClr val="tx1"/>
              </a:solidFill>
              <a:effectLst/>
              <a:latin typeface="+mn-lt"/>
              <a:ea typeface="+mn-ea"/>
              <a:cs typeface="+mn-cs"/>
            </a:rPr>
            <a:t>The avoidable costs are split between on-site operational costs (water and sewerage operational costs, leakage management costs) and long run on-site costs (pipes, furniture, mains, sewers replacement costs). For the calculations of avoidable capital maintenance costs, we use asset lives and annuities to estimate the annual  ("</a:t>
          </a:r>
          <a:r>
            <a:rPr lang="en-GB" sz="1400" b="1" baseline="0">
              <a:solidFill>
                <a:schemeClr val="tx1"/>
              </a:solidFill>
              <a:effectLst/>
              <a:latin typeface="+mn-lt"/>
              <a:ea typeface="+mn-ea"/>
              <a:cs typeface="+mn-cs"/>
            </a:rPr>
            <a:t>Avoided Capital Maintenance</a:t>
          </a:r>
          <a:r>
            <a:rPr lang="en-GB" sz="1400" baseline="0">
              <a:solidFill>
                <a:schemeClr val="tx1"/>
              </a:solidFill>
              <a:effectLst/>
              <a:latin typeface="+mn-lt"/>
              <a:ea typeface="+mn-ea"/>
              <a:cs typeface="+mn-cs"/>
            </a:rPr>
            <a:t>" worksheet). All avoidable operating costs, are referenced and summed in the "</a:t>
          </a:r>
          <a:r>
            <a:rPr lang="en-GB" sz="1400" b="1" baseline="0">
              <a:solidFill>
                <a:schemeClr val="tx1"/>
              </a:solidFill>
              <a:effectLst/>
              <a:latin typeface="+mn-lt"/>
              <a:ea typeface="+mn-ea"/>
              <a:cs typeface="+mn-cs"/>
            </a:rPr>
            <a:t>Bulk Supply Tariff</a:t>
          </a:r>
          <a:r>
            <a:rPr lang="en-GB" sz="1400" baseline="0">
              <a:solidFill>
                <a:schemeClr val="tx1"/>
              </a:solidFill>
              <a:effectLst/>
              <a:latin typeface="+mn-lt"/>
              <a:ea typeface="+mn-ea"/>
              <a:cs typeface="+mn-cs"/>
            </a:rPr>
            <a:t>" worksheet. Business overheads, bidding and emergency costs, as well as leakage allowance discount are provided in those sections, too. </a:t>
          </a:r>
        </a:p>
        <a:p>
          <a:endParaRPr lang="en-GB" sz="1400" baseline="0"/>
        </a:p>
        <a:p>
          <a:r>
            <a:rPr lang="en-GB" sz="1400" baseline="0"/>
            <a:t>                </a:t>
          </a:r>
          <a:r>
            <a:rPr lang="en-GB" sz="1400" baseline="0">
              <a:solidFill>
                <a:schemeClr val="tx1"/>
              </a:solidFill>
              <a:effectLst/>
              <a:latin typeface="+mn-lt"/>
              <a:ea typeface="+mn-ea"/>
              <a:cs typeface="+mn-cs"/>
            </a:rPr>
            <a:t> The avoidable costs are deducted from the weighted starting point, and the initial set of tariffs (p/m3) is provided in the "</a:t>
          </a:r>
          <a:r>
            <a:rPr lang="en-GB" sz="1400" b="1" baseline="0">
              <a:solidFill>
                <a:schemeClr val="tx1"/>
              </a:solidFill>
              <a:effectLst/>
              <a:latin typeface="+mn-lt"/>
              <a:ea typeface="+mn-ea"/>
              <a:cs typeface="+mn-cs"/>
            </a:rPr>
            <a:t>Wholesale Tariff Inputs</a:t>
          </a:r>
          <a:r>
            <a:rPr lang="en-GB" sz="1400" baseline="0">
              <a:solidFill>
                <a:schemeClr val="tx1"/>
              </a:solidFill>
              <a:effectLst/>
              <a:latin typeface="+mn-lt"/>
              <a:ea typeface="+mn-ea"/>
              <a:cs typeface="+mn-cs"/>
            </a:rPr>
            <a:t>" tab.</a:t>
          </a:r>
        </a:p>
        <a:p>
          <a:endParaRPr lang="en-GB" sz="1400" baseline="0"/>
        </a:p>
        <a:p>
          <a:r>
            <a:rPr lang="en-GB" sz="1400" baseline="0"/>
            <a:t>                The leakage allowance discount is applied at the initial set of tariffs, after the deduction of avoidable costs to avoid double counting.  </a:t>
          </a:r>
        </a:p>
        <a:p>
          <a:endParaRPr lang="en-GB" sz="1400" baseline="0"/>
        </a:p>
        <a:p>
          <a:r>
            <a:rPr lang="en-GB" sz="1400" baseline="0"/>
            <a:t>                The final set of tariffs for the NAV site is selected from the menu.</a:t>
          </a:r>
          <a:endParaRPr lang="en-GB" sz="1400"/>
        </a:p>
      </xdr:txBody>
    </xdr:sp>
    <xdr:clientData/>
  </xdr:oneCellAnchor>
  <xdr:twoCellAnchor editAs="oneCell">
    <xdr:from>
      <xdr:col>1</xdr:col>
      <xdr:colOff>121443</xdr:colOff>
      <xdr:row>29</xdr:row>
      <xdr:rowOff>98203</xdr:rowOff>
    </xdr:from>
    <xdr:to>
      <xdr:col>1</xdr:col>
      <xdr:colOff>389193</xdr:colOff>
      <xdr:row>31</xdr:row>
      <xdr:rowOff>55179</xdr:rowOff>
    </xdr:to>
    <xdr:pic>
      <xdr:nvPicPr>
        <xdr:cNvPr id="10" name="Picture 9">
          <a:extLst>
            <a:ext uri="{FF2B5EF4-FFF2-40B4-BE49-F238E27FC236}">
              <a16:creationId xmlns:a16="http://schemas.microsoft.com/office/drawing/2014/main" id="{87234DAB-EFC2-4641-9ADC-152EF194F2F9}"/>
            </a:ext>
          </a:extLst>
        </xdr:cNvPr>
        <xdr:cNvPicPr>
          <a:picLocks noChangeAspect="1"/>
        </xdr:cNvPicPr>
      </xdr:nvPicPr>
      <xdr:blipFill>
        <a:blip xmlns:r="http://schemas.openxmlformats.org/officeDocument/2006/relationships" r:embed="rId2"/>
        <a:stretch>
          <a:fillRect/>
        </a:stretch>
      </xdr:blipFill>
      <xdr:spPr>
        <a:xfrm>
          <a:off x="461622" y="4901524"/>
          <a:ext cx="267750" cy="283548"/>
        </a:xfrm>
        <a:prstGeom prst="rect">
          <a:avLst/>
        </a:prstGeom>
      </xdr:spPr>
    </xdr:pic>
    <xdr:clientData/>
  </xdr:twoCellAnchor>
  <xdr:twoCellAnchor editAs="oneCell">
    <xdr:from>
      <xdr:col>1</xdr:col>
      <xdr:colOff>121443</xdr:colOff>
      <xdr:row>31</xdr:row>
      <xdr:rowOff>149003</xdr:rowOff>
    </xdr:from>
    <xdr:to>
      <xdr:col>1</xdr:col>
      <xdr:colOff>389193</xdr:colOff>
      <xdr:row>33</xdr:row>
      <xdr:rowOff>112102</xdr:rowOff>
    </xdr:to>
    <xdr:pic>
      <xdr:nvPicPr>
        <xdr:cNvPr id="11" name="Picture 10">
          <a:extLst>
            <a:ext uri="{FF2B5EF4-FFF2-40B4-BE49-F238E27FC236}">
              <a16:creationId xmlns:a16="http://schemas.microsoft.com/office/drawing/2014/main" id="{3962FEE5-3B58-42C3-9976-FE8271CAB847}"/>
            </a:ext>
          </a:extLst>
        </xdr:cNvPr>
        <xdr:cNvPicPr>
          <a:picLocks noChangeAspect="1"/>
        </xdr:cNvPicPr>
      </xdr:nvPicPr>
      <xdr:blipFill>
        <a:blip xmlns:r="http://schemas.openxmlformats.org/officeDocument/2006/relationships" r:embed="rId3"/>
        <a:stretch>
          <a:fillRect/>
        </a:stretch>
      </xdr:blipFill>
      <xdr:spPr>
        <a:xfrm>
          <a:off x="461622" y="5278896"/>
          <a:ext cx="267750" cy="289670"/>
        </a:xfrm>
        <a:prstGeom prst="rect">
          <a:avLst/>
        </a:prstGeom>
      </xdr:spPr>
    </xdr:pic>
    <xdr:clientData/>
  </xdr:twoCellAnchor>
  <xdr:twoCellAnchor editAs="oneCell">
    <xdr:from>
      <xdr:col>1</xdr:col>
      <xdr:colOff>124619</xdr:colOff>
      <xdr:row>34</xdr:row>
      <xdr:rowOff>87772</xdr:rowOff>
    </xdr:from>
    <xdr:to>
      <xdr:col>1</xdr:col>
      <xdr:colOff>391555</xdr:colOff>
      <xdr:row>36</xdr:row>
      <xdr:rowOff>80179</xdr:rowOff>
    </xdr:to>
    <xdr:pic>
      <xdr:nvPicPr>
        <xdr:cNvPr id="12" name="Picture 11">
          <a:extLst>
            <a:ext uri="{FF2B5EF4-FFF2-40B4-BE49-F238E27FC236}">
              <a16:creationId xmlns:a16="http://schemas.microsoft.com/office/drawing/2014/main" id="{43D4F71F-B301-4AA9-95B0-8BC3D70BEBC7}"/>
            </a:ext>
          </a:extLst>
        </xdr:cNvPr>
        <xdr:cNvPicPr>
          <a:picLocks noChangeAspect="1"/>
        </xdr:cNvPicPr>
      </xdr:nvPicPr>
      <xdr:blipFill>
        <a:blip xmlns:r="http://schemas.openxmlformats.org/officeDocument/2006/relationships" r:embed="rId4"/>
        <a:stretch>
          <a:fillRect/>
        </a:stretch>
      </xdr:blipFill>
      <xdr:spPr>
        <a:xfrm>
          <a:off x="464798" y="5707522"/>
          <a:ext cx="266936" cy="318978"/>
        </a:xfrm>
        <a:prstGeom prst="rect">
          <a:avLst/>
        </a:prstGeom>
      </xdr:spPr>
    </xdr:pic>
    <xdr:clientData/>
  </xdr:twoCellAnchor>
  <xdr:twoCellAnchor editAs="oneCell">
    <xdr:from>
      <xdr:col>1</xdr:col>
      <xdr:colOff>130969</xdr:colOff>
      <xdr:row>40</xdr:row>
      <xdr:rowOff>4482</xdr:rowOff>
    </xdr:from>
    <xdr:to>
      <xdr:col>1</xdr:col>
      <xdr:colOff>410766</xdr:colOff>
      <xdr:row>41</xdr:row>
      <xdr:rowOff>108136</xdr:rowOff>
    </xdr:to>
    <xdr:pic>
      <xdr:nvPicPr>
        <xdr:cNvPr id="13" name="Picture 12">
          <a:extLst>
            <a:ext uri="{FF2B5EF4-FFF2-40B4-BE49-F238E27FC236}">
              <a16:creationId xmlns:a16="http://schemas.microsoft.com/office/drawing/2014/main" id="{663BA39B-D021-453F-9798-93E3343DA5C5}"/>
            </a:ext>
          </a:extLst>
        </xdr:cNvPr>
        <xdr:cNvPicPr>
          <a:picLocks noChangeAspect="1"/>
        </xdr:cNvPicPr>
      </xdr:nvPicPr>
      <xdr:blipFill>
        <a:blip xmlns:r="http://schemas.openxmlformats.org/officeDocument/2006/relationships" r:embed="rId5"/>
        <a:stretch>
          <a:fillRect/>
        </a:stretch>
      </xdr:blipFill>
      <xdr:spPr>
        <a:xfrm>
          <a:off x="471148" y="6603946"/>
          <a:ext cx="279797" cy="266940"/>
        </a:xfrm>
        <a:prstGeom prst="rect">
          <a:avLst/>
        </a:prstGeom>
      </xdr:spPr>
    </xdr:pic>
    <xdr:clientData/>
  </xdr:twoCellAnchor>
  <xdr:twoCellAnchor editAs="oneCell">
    <xdr:from>
      <xdr:col>1</xdr:col>
      <xdr:colOff>134016</xdr:colOff>
      <xdr:row>42</xdr:row>
      <xdr:rowOff>98772</xdr:rowOff>
    </xdr:from>
    <xdr:to>
      <xdr:col>1</xdr:col>
      <xdr:colOff>389042</xdr:colOff>
      <xdr:row>44</xdr:row>
      <xdr:rowOff>31712</xdr:rowOff>
    </xdr:to>
    <xdr:pic>
      <xdr:nvPicPr>
        <xdr:cNvPr id="14" name="Picture 13">
          <a:extLst>
            <a:ext uri="{FF2B5EF4-FFF2-40B4-BE49-F238E27FC236}">
              <a16:creationId xmlns:a16="http://schemas.microsoft.com/office/drawing/2014/main" id="{5B912FD3-A976-4880-89DF-DD94B69DA87C}"/>
            </a:ext>
          </a:extLst>
        </xdr:cNvPr>
        <xdr:cNvPicPr>
          <a:picLocks noChangeAspect="1"/>
        </xdr:cNvPicPr>
      </xdr:nvPicPr>
      <xdr:blipFill>
        <a:blip xmlns:r="http://schemas.openxmlformats.org/officeDocument/2006/relationships" r:embed="rId6"/>
        <a:stretch>
          <a:fillRect/>
        </a:stretch>
      </xdr:blipFill>
      <xdr:spPr>
        <a:xfrm>
          <a:off x="474195" y="7024808"/>
          <a:ext cx="255026" cy="259511"/>
        </a:xfrm>
        <a:prstGeom prst="rect">
          <a:avLst/>
        </a:prstGeom>
      </xdr:spPr>
    </xdr:pic>
    <xdr:clientData/>
  </xdr:twoCellAnchor>
  <xdr:twoCellAnchor editAs="oneCell">
    <xdr:from>
      <xdr:col>1</xdr:col>
      <xdr:colOff>122238</xdr:colOff>
      <xdr:row>45</xdr:row>
      <xdr:rowOff>65426</xdr:rowOff>
    </xdr:from>
    <xdr:to>
      <xdr:col>1</xdr:col>
      <xdr:colOff>398860</xdr:colOff>
      <xdr:row>47</xdr:row>
      <xdr:rowOff>3125</xdr:rowOff>
    </xdr:to>
    <xdr:pic>
      <xdr:nvPicPr>
        <xdr:cNvPr id="15" name="Picture 14">
          <a:extLst>
            <a:ext uri="{FF2B5EF4-FFF2-40B4-BE49-F238E27FC236}">
              <a16:creationId xmlns:a16="http://schemas.microsoft.com/office/drawing/2014/main" id="{AD50C029-24C0-4555-8C7C-8F2B245D67FE}"/>
            </a:ext>
          </a:extLst>
        </xdr:cNvPr>
        <xdr:cNvPicPr>
          <a:picLocks noChangeAspect="1"/>
        </xdr:cNvPicPr>
      </xdr:nvPicPr>
      <xdr:blipFill>
        <a:blip xmlns:r="http://schemas.openxmlformats.org/officeDocument/2006/relationships" r:embed="rId7"/>
        <a:stretch>
          <a:fillRect/>
        </a:stretch>
      </xdr:blipFill>
      <xdr:spPr>
        <a:xfrm>
          <a:off x="462417" y="7481319"/>
          <a:ext cx="276622" cy="264270"/>
        </a:xfrm>
        <a:prstGeom prst="rect">
          <a:avLst/>
        </a:prstGeom>
      </xdr:spPr>
    </xdr:pic>
    <xdr:clientData/>
  </xdr:twoCellAnchor>
  <xdr:twoCellAnchor editAs="oneCell">
    <xdr:from>
      <xdr:col>6</xdr:col>
      <xdr:colOff>797719</xdr:colOff>
      <xdr:row>4</xdr:row>
      <xdr:rowOff>47625</xdr:rowOff>
    </xdr:from>
    <xdr:to>
      <xdr:col>11</xdr:col>
      <xdr:colOff>307</xdr:colOff>
      <xdr:row>13</xdr:row>
      <xdr:rowOff>7429</xdr:rowOff>
    </xdr:to>
    <xdr:pic>
      <xdr:nvPicPr>
        <xdr:cNvPr id="22" name="Picture 21">
          <a:extLst>
            <a:ext uri="{FF2B5EF4-FFF2-40B4-BE49-F238E27FC236}">
              <a16:creationId xmlns:a16="http://schemas.microsoft.com/office/drawing/2014/main" id="{6CFE9F6C-3A1B-4465-D931-1B81A504AAE2}"/>
            </a:ext>
          </a:extLst>
        </xdr:cNvPr>
        <xdr:cNvPicPr>
          <a:picLocks noChangeAspect="1"/>
        </xdr:cNvPicPr>
      </xdr:nvPicPr>
      <xdr:blipFill>
        <a:blip xmlns:r="http://schemas.openxmlformats.org/officeDocument/2006/relationships" r:embed="rId8"/>
        <a:stretch>
          <a:fillRect/>
        </a:stretch>
      </xdr:blipFill>
      <xdr:spPr>
        <a:xfrm>
          <a:off x="6715125" y="762000"/>
          <a:ext cx="6846401" cy="1459992"/>
        </a:xfrm>
        <a:prstGeom prst="rect">
          <a:avLst/>
        </a:prstGeom>
      </xdr:spPr>
    </xdr:pic>
    <xdr:clientData/>
  </xdr:twoCellAnchor>
  <xdr:twoCellAnchor editAs="oneCell">
    <xdr:from>
      <xdr:col>4</xdr:col>
      <xdr:colOff>217716</xdr:colOff>
      <xdr:row>48</xdr:row>
      <xdr:rowOff>85725</xdr:rowOff>
    </xdr:from>
    <xdr:to>
      <xdr:col>16</xdr:col>
      <xdr:colOff>566966</xdr:colOff>
      <xdr:row>93</xdr:row>
      <xdr:rowOff>46809</xdr:rowOff>
    </xdr:to>
    <xdr:pic>
      <xdr:nvPicPr>
        <xdr:cNvPr id="59" name="Picture 58">
          <a:extLst>
            <a:ext uri="{FF2B5EF4-FFF2-40B4-BE49-F238E27FC236}">
              <a16:creationId xmlns:a16="http://schemas.microsoft.com/office/drawing/2014/main" id="{80B9B812-BCDA-4871-73DC-E6E70515CAF3}"/>
            </a:ext>
          </a:extLst>
        </xdr:cNvPr>
        <xdr:cNvPicPr>
          <a:picLocks noChangeAspect="1"/>
        </xdr:cNvPicPr>
      </xdr:nvPicPr>
      <xdr:blipFill>
        <a:blip xmlns:r="http://schemas.openxmlformats.org/officeDocument/2006/relationships" r:embed="rId9"/>
        <a:stretch>
          <a:fillRect/>
        </a:stretch>
      </xdr:blipFill>
      <xdr:spPr>
        <a:xfrm>
          <a:off x="3878037" y="7991475"/>
          <a:ext cx="13331825" cy="73089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508000</xdr:colOff>
      <xdr:row>41</xdr:row>
      <xdr:rowOff>130288</xdr:rowOff>
    </xdr:to>
    <xdr:pic>
      <xdr:nvPicPr>
        <xdr:cNvPr id="2" name="Picture 1">
          <a:extLst>
            <a:ext uri="{FF2B5EF4-FFF2-40B4-BE49-F238E27FC236}">
              <a16:creationId xmlns:a16="http://schemas.microsoft.com/office/drawing/2014/main" id="{7291CB28-0680-85DC-BDD1-E73A125CB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700000" cy="80042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BF8DCDA-77F0-4542-9817-259E2AD1AF23}" name="Table1" displayName="Table1" ref="G12:J26" totalsRowShown="0" headerRowDxfId="17" dataDxfId="16">
  <autoFilter ref="G12:J26" xr:uid="{1BF8DCDA-77F0-4542-9817-259E2AD1AF23}"/>
  <tableColumns count="4">
    <tableColumn id="1" xr3:uid="{12376E10-EFF9-4001-8843-E63B7AABB677}" name="Version" dataDxfId="15"/>
    <tableColumn id="2" xr3:uid="{454904E0-3F16-439B-9E19-74030B3D1BAA}" name="Date" dataDxfId="14"/>
    <tableColumn id="3" xr3:uid="{B961F34E-3CB6-4974-B83C-33430B9A86A5}" name="Edited by" dataDxfId="13" dataCellStyle="Normal"/>
    <tableColumn id="4" xr3:uid="{D8FD9749-B570-4889-B257-8772CBC4D6BA}" name="Description of Changes" dataDxfId="12" dataCellStyle="Normal"/>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029E04C-8286-4EAA-92C2-88D2F41D4009}" name="Table2" displayName="Table2" ref="G30:J37" totalsRowShown="0" headerRowDxfId="11" dataDxfId="10">
  <autoFilter ref="G30:J37" xr:uid="{8029E04C-8286-4EAA-92C2-88D2F41D4009}"/>
  <tableColumns count="4">
    <tableColumn id="1" xr3:uid="{421932C0-E052-4E5C-8540-E79D8AC02270}" name="Version" dataDxfId="9"/>
    <tableColumn id="2" xr3:uid="{341ECE62-5FF0-4C59-AC5A-0230AB9DB63E}" name="Date" dataDxfId="8"/>
    <tableColumn id="3" xr3:uid="{4C345A44-1C3B-4689-AF18-29D4EB91D768}" name="QA'd by" dataDxfId="7"/>
    <tableColumn id="4" xr3:uid="{EA2A4A8B-494F-44F4-B73E-2F7DC0B81CB2}" name="Description of QA" dataDxfId="6"/>
  </tableColumns>
  <tableStyleInfo name="TableStyleLight8" showFirstColumn="0" showLastColumn="0" showRowStripes="1" showColumnStripes="0"/>
</table>
</file>

<file path=xl/theme/theme1.xml><?xml version="1.0" encoding="utf-8"?>
<a:theme xmlns:a="http://schemas.openxmlformats.org/drawingml/2006/main" name="Excel">
  <a:themeElements>
    <a:clrScheme name="CEPA_Excel">
      <a:dk1>
        <a:sysClr val="windowText" lastClr="000000"/>
      </a:dk1>
      <a:lt1>
        <a:srgbClr val="FFFFFF"/>
      </a:lt1>
      <a:dk2>
        <a:srgbClr val="002776"/>
      </a:dk2>
      <a:lt2>
        <a:srgbClr val="5A85D7"/>
      </a:lt2>
      <a:accent1>
        <a:srgbClr val="F7403A"/>
      </a:accent1>
      <a:accent2>
        <a:srgbClr val="FFA02F"/>
      </a:accent2>
      <a:accent3>
        <a:srgbClr val="F3CF45"/>
      </a:accent3>
      <a:accent4>
        <a:srgbClr val="BED600"/>
      </a:accent4>
      <a:accent5>
        <a:srgbClr val="7765A0"/>
      </a:accent5>
      <a:accent6>
        <a:srgbClr val="009AA6"/>
      </a:accent6>
      <a:hlink>
        <a:srgbClr val="4186CD"/>
      </a:hlink>
      <a:folHlink>
        <a:srgbClr val="4186CD"/>
      </a:folHlink>
    </a:clrScheme>
    <a:fontScheme name="2019">
      <a:majorFont>
        <a:latin typeface="Rockwell Nova"/>
        <a:ea typeface=""/>
        <a:cs typeface=""/>
      </a:majorFont>
      <a:minorFont>
        <a:latin typeface="Arial Nov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CEPA2019" id="{536A63FB-1EAD-4361-AEB6-D84A87527CD7}" vid="{5282DCE9-F17A-4B02-84C5-58F6967263E3}"/>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2.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711D5-C913-4A09-A2BF-849D2E5C6928}">
  <sheetPr codeName="Sheet4">
    <tabColor theme="0" tint="-0.14999847407452621"/>
  </sheetPr>
  <dimension ref="A1:Y79"/>
  <sheetViews>
    <sheetView showGridLines="0" tabSelected="1" zoomScale="90" zoomScaleNormal="90" workbookViewId="0">
      <selection activeCell="J16" sqref="J16"/>
    </sheetView>
  </sheetViews>
  <sheetFormatPr defaultColWidth="0" defaultRowHeight="13" zeroHeight="1" x14ac:dyDescent="0.3"/>
  <cols>
    <col min="1" max="1" width="3.54296875" style="340" customWidth="1"/>
    <col min="2" max="2" width="14.453125" style="340" customWidth="1"/>
    <col min="3" max="3" width="2.453125" style="340" customWidth="1"/>
    <col min="4" max="4" width="13" style="340" customWidth="1"/>
    <col min="5" max="5" width="66.453125" style="340" customWidth="1"/>
    <col min="6" max="6" width="4.453125" style="340" customWidth="1"/>
    <col min="7" max="7" width="7" style="340" customWidth="1"/>
    <col min="8" max="8" width="13" style="340" customWidth="1"/>
    <col min="9" max="9" width="24.54296875" style="340" bestFit="1" customWidth="1"/>
    <col min="10" max="10" width="34.54296875" style="340" customWidth="1"/>
    <col min="11" max="11" width="3.54296875" style="340" customWidth="1"/>
    <col min="12" max="16384" width="8" style="340" hidden="1"/>
  </cols>
  <sheetData>
    <row r="1" spans="2:10" x14ac:dyDescent="0.3"/>
    <row r="2" spans="2:10" ht="94" x14ac:dyDescent="0.55000000000000004">
      <c r="B2" s="341" t="s">
        <v>0</v>
      </c>
      <c r="G2" s="399" t="s">
        <v>1</v>
      </c>
      <c r="H2" s="399"/>
      <c r="I2" s="399"/>
      <c r="J2" s="399"/>
    </row>
    <row r="3" spans="2:10" ht="61.4" customHeight="1" x14ac:dyDescent="0.3">
      <c r="B3" s="342" t="s">
        <v>2</v>
      </c>
      <c r="G3" s="399"/>
      <c r="H3" s="399"/>
      <c r="I3" s="399"/>
      <c r="J3" s="399"/>
    </row>
    <row r="4" spans="2:10" x14ac:dyDescent="0.3">
      <c r="B4" s="343" t="str" cm="1">
        <f t="array" ref="B4" xml:space="preserve"> TEXT(IF(COUNTA(Table1[Date]),INDEX(Table1[Date],COUNTA(Table1[Date])),""),"dd/mm/yyyy")</f>
        <v>31/03/2025</v>
      </c>
      <c r="C4" s="344"/>
      <c r="E4" s="345"/>
      <c r="G4" s="399"/>
      <c r="H4" s="399"/>
      <c r="I4" s="399"/>
      <c r="J4" s="399"/>
    </row>
    <row r="5" spans="2:10" x14ac:dyDescent="0.3">
      <c r="G5" s="399"/>
      <c r="H5" s="399"/>
      <c r="I5" s="399"/>
      <c r="J5" s="399"/>
    </row>
    <row r="6" spans="2:10" ht="26" x14ac:dyDescent="0.3">
      <c r="B6" s="340" t="s">
        <v>3</v>
      </c>
      <c r="E6" s="346"/>
      <c r="G6" s="399"/>
      <c r="H6" s="399"/>
      <c r="I6" s="399"/>
      <c r="J6" s="399"/>
    </row>
    <row r="7" spans="2:10" x14ac:dyDescent="0.3">
      <c r="G7" s="399"/>
      <c r="H7" s="399"/>
      <c r="I7" s="399"/>
      <c r="J7" s="399"/>
    </row>
    <row r="8" spans="2:10" ht="12.75" customHeight="1" x14ac:dyDescent="0.3">
      <c r="B8" s="400" t="s">
        <v>4</v>
      </c>
      <c r="C8" s="400"/>
      <c r="D8" s="400"/>
      <c r="E8" s="400"/>
      <c r="G8" s="399"/>
      <c r="H8" s="399"/>
      <c r="I8" s="399"/>
      <c r="J8" s="399"/>
    </row>
    <row r="9" spans="2:10" ht="24.65" customHeight="1" x14ac:dyDescent="0.3">
      <c r="B9" s="400"/>
      <c r="C9" s="400"/>
      <c r="D9" s="400"/>
      <c r="E9" s="400"/>
    </row>
    <row r="10" spans="2:10" ht="39" x14ac:dyDescent="0.3">
      <c r="B10" s="400"/>
      <c r="C10" s="400"/>
      <c r="D10" s="400"/>
      <c r="E10" s="400"/>
      <c r="G10" s="347" t="s">
        <v>5</v>
      </c>
      <c r="H10" s="347"/>
      <c r="I10" s="347"/>
      <c r="J10" s="347"/>
    </row>
    <row r="11" spans="2:10" x14ac:dyDescent="0.3">
      <c r="B11" s="400"/>
      <c r="C11" s="400"/>
      <c r="D11" s="400"/>
      <c r="E11" s="400"/>
    </row>
    <row r="12" spans="2:10" ht="26" x14ac:dyDescent="0.3">
      <c r="B12" s="400"/>
      <c r="C12" s="400"/>
      <c r="D12" s="400"/>
      <c r="E12" s="400"/>
      <c r="G12" s="348" t="s">
        <v>6</v>
      </c>
      <c r="H12" s="349" t="s">
        <v>7</v>
      </c>
      <c r="I12" s="348" t="s">
        <v>8</v>
      </c>
      <c r="J12" s="348" t="s">
        <v>9</v>
      </c>
    </row>
    <row r="13" spans="2:10" ht="19.399999999999999" customHeight="1" x14ac:dyDescent="0.3">
      <c r="B13" s="401"/>
      <c r="C13" s="401"/>
      <c r="D13" s="401"/>
      <c r="E13" s="401"/>
      <c r="G13" s="350">
        <v>0</v>
      </c>
      <c r="H13" s="344">
        <v>45250</v>
      </c>
      <c r="I13" s="340" t="s">
        <v>10</v>
      </c>
      <c r="J13" s="340" t="s">
        <v>11</v>
      </c>
    </row>
    <row r="14" spans="2:10" x14ac:dyDescent="0.3">
      <c r="G14" s="351" t="s">
        <v>12</v>
      </c>
      <c r="H14" s="344">
        <v>45275</v>
      </c>
      <c r="I14" s="340" t="s">
        <v>10</v>
      </c>
      <c r="J14" s="340" t="s">
        <v>13</v>
      </c>
    </row>
    <row r="15" spans="2:10" x14ac:dyDescent="0.3">
      <c r="B15" s="347" t="s">
        <v>14</v>
      </c>
      <c r="C15" s="347"/>
      <c r="D15" s="347"/>
      <c r="E15" s="347"/>
      <c r="G15" s="351" t="s">
        <v>15</v>
      </c>
      <c r="H15" s="344">
        <v>45670</v>
      </c>
      <c r="I15" s="340" t="s">
        <v>16</v>
      </c>
      <c r="J15" s="340" t="s">
        <v>17</v>
      </c>
    </row>
    <row r="16" spans="2:10" ht="39" x14ac:dyDescent="0.3">
      <c r="G16" s="414" t="s">
        <v>388</v>
      </c>
      <c r="H16" s="415">
        <v>45747</v>
      </c>
      <c r="I16" s="416" t="s">
        <v>16</v>
      </c>
      <c r="J16" s="416" t="s">
        <v>389</v>
      </c>
    </row>
    <row r="17" spans="2:10" x14ac:dyDescent="0.3">
      <c r="B17" s="352" t="s">
        <v>18</v>
      </c>
      <c r="C17" s="353"/>
      <c r="D17" s="353"/>
      <c r="E17" s="353"/>
      <c r="G17" s="351"/>
      <c r="H17" s="344"/>
    </row>
    <row r="18" spans="2:10" ht="39" x14ac:dyDescent="0.3">
      <c r="B18" s="354"/>
      <c r="D18" s="355" t="s">
        <v>19</v>
      </c>
      <c r="G18" s="351"/>
      <c r="H18" s="344"/>
    </row>
    <row r="19" spans="2:10" x14ac:dyDescent="0.3">
      <c r="B19" s="356" t="s">
        <v>20</v>
      </c>
      <c r="D19" s="355" t="s">
        <v>21</v>
      </c>
      <c r="G19" s="357"/>
      <c r="H19" s="358"/>
      <c r="I19" s="359"/>
      <c r="J19" s="359"/>
    </row>
    <row r="20" spans="2:10" x14ac:dyDescent="0.3">
      <c r="B20" s="360" t="s">
        <v>20</v>
      </c>
      <c r="D20" s="355" t="s">
        <v>22</v>
      </c>
      <c r="G20" s="351"/>
      <c r="H20" s="344"/>
    </row>
    <row r="21" spans="2:10" s="353" customFormat="1" x14ac:dyDescent="0.3">
      <c r="B21" s="361" t="s">
        <v>20</v>
      </c>
      <c r="C21" s="340"/>
      <c r="D21" s="355" t="s">
        <v>23</v>
      </c>
      <c r="E21" s="340"/>
      <c r="G21" s="351"/>
      <c r="H21" s="344"/>
      <c r="I21" s="340"/>
      <c r="J21" s="340"/>
    </row>
    <row r="22" spans="2:10" s="353" customFormat="1" ht="78" x14ac:dyDescent="0.3">
      <c r="B22" s="362" t="s">
        <v>20</v>
      </c>
      <c r="C22" s="340"/>
      <c r="D22" s="355" t="s">
        <v>24</v>
      </c>
      <c r="E22" s="340"/>
      <c r="G22" s="357"/>
      <c r="H22" s="358"/>
      <c r="I22" s="359"/>
      <c r="J22" s="359"/>
    </row>
    <row r="23" spans="2:10" s="353" customFormat="1" ht="39" x14ac:dyDescent="0.3">
      <c r="B23" s="363" t="s">
        <v>20</v>
      </c>
      <c r="C23" s="340"/>
      <c r="D23" s="355" t="s">
        <v>25</v>
      </c>
      <c r="E23" s="340"/>
      <c r="G23" s="351"/>
      <c r="H23" s="344"/>
      <c r="I23" s="340"/>
      <c r="J23" s="340"/>
    </row>
    <row r="24" spans="2:10" s="353" customFormat="1" ht="39" x14ac:dyDescent="0.3">
      <c r="B24" s="364" t="s">
        <v>20</v>
      </c>
      <c r="C24" s="340"/>
      <c r="D24" s="355" t="s">
        <v>26</v>
      </c>
      <c r="E24" s="340"/>
      <c r="G24" s="351"/>
      <c r="H24" s="344"/>
      <c r="I24" s="340"/>
      <c r="J24" s="340"/>
    </row>
    <row r="25" spans="2:10" s="353" customFormat="1" x14ac:dyDescent="0.3">
      <c r="B25" s="365" t="s">
        <v>20</v>
      </c>
      <c r="C25" s="340"/>
      <c r="D25" s="355" t="s">
        <v>27</v>
      </c>
      <c r="E25" s="340"/>
      <c r="G25" s="351"/>
      <c r="H25" s="344"/>
      <c r="I25" s="340"/>
      <c r="J25" s="340"/>
    </row>
    <row r="26" spans="2:10" s="353" customFormat="1" x14ac:dyDescent="0.3">
      <c r="B26" s="366" t="s">
        <v>20</v>
      </c>
      <c r="C26" s="340"/>
      <c r="D26" s="355" t="s">
        <v>28</v>
      </c>
      <c r="E26" s="340"/>
      <c r="G26" s="357"/>
      <c r="H26" s="358"/>
      <c r="I26" s="359"/>
      <c r="J26" s="359"/>
    </row>
    <row r="27" spans="2:10" x14ac:dyDescent="0.3"/>
    <row r="28" spans="2:10" x14ac:dyDescent="0.3">
      <c r="B28" s="352" t="s">
        <v>29</v>
      </c>
      <c r="C28" s="353"/>
      <c r="D28" s="355"/>
      <c r="G28" s="347" t="s">
        <v>30</v>
      </c>
      <c r="H28" s="347"/>
      <c r="I28" s="347"/>
      <c r="J28" s="347"/>
    </row>
    <row r="29" spans="2:10" ht="26" x14ac:dyDescent="0.3">
      <c r="B29" s="367" t="s">
        <v>31</v>
      </c>
      <c r="D29" s="355" t="s">
        <v>32</v>
      </c>
    </row>
    <row r="30" spans="2:10" ht="26" x14ac:dyDescent="0.3">
      <c r="B30" s="368" t="s">
        <v>31</v>
      </c>
      <c r="D30" s="355" t="s">
        <v>33</v>
      </c>
      <c r="G30" s="348" t="s">
        <v>6</v>
      </c>
      <c r="H30" s="349" t="s">
        <v>7</v>
      </c>
      <c r="I30" s="348" t="s">
        <v>34</v>
      </c>
      <c r="J30" s="348" t="s">
        <v>35</v>
      </c>
    </row>
    <row r="31" spans="2:10" x14ac:dyDescent="0.3">
      <c r="B31" s="369" t="s">
        <v>31</v>
      </c>
      <c r="D31" s="355" t="s">
        <v>36</v>
      </c>
      <c r="G31" s="370" t="s">
        <v>12</v>
      </c>
      <c r="H31" s="344">
        <v>45273</v>
      </c>
      <c r="I31" s="340" t="s">
        <v>10</v>
      </c>
      <c r="J31" s="340" t="s">
        <v>37</v>
      </c>
    </row>
    <row r="32" spans="2:10" x14ac:dyDescent="0.3">
      <c r="B32" s="371" t="s">
        <v>31</v>
      </c>
      <c r="C32" s="353"/>
      <c r="D32" s="355" t="s">
        <v>38</v>
      </c>
      <c r="G32" s="370"/>
      <c r="H32" s="344"/>
    </row>
    <row r="33" spans="1:18" ht="26" x14ac:dyDescent="0.3">
      <c r="B33" s="372" t="s">
        <v>31</v>
      </c>
      <c r="D33" s="355" t="s">
        <v>39</v>
      </c>
      <c r="G33" s="370"/>
      <c r="H33" s="344"/>
    </row>
    <row r="34" spans="1:18" s="353" customFormat="1" x14ac:dyDescent="0.3">
      <c r="B34" s="373" t="s">
        <v>31</v>
      </c>
      <c r="C34" s="340"/>
      <c r="D34" s="355" t="s">
        <v>40</v>
      </c>
      <c r="E34" s="340"/>
      <c r="G34" s="370"/>
      <c r="H34" s="344"/>
      <c r="I34" s="340"/>
      <c r="J34" s="340"/>
    </row>
    <row r="35" spans="1:18" s="353" customFormat="1" x14ac:dyDescent="0.3">
      <c r="B35" s="340"/>
      <c r="C35" s="340"/>
      <c r="D35" s="340"/>
      <c r="E35" s="340"/>
      <c r="G35" s="370"/>
      <c r="H35" s="355"/>
      <c r="I35" s="340"/>
      <c r="J35" s="340"/>
    </row>
    <row r="36" spans="1:18" x14ac:dyDescent="0.3">
      <c r="G36" s="370"/>
      <c r="H36" s="355"/>
    </row>
    <row r="37" spans="1:18" x14ac:dyDescent="0.3">
      <c r="G37" s="370"/>
      <c r="H37" s="355"/>
    </row>
    <row r="38" spans="1:18" x14ac:dyDescent="0.3"/>
    <row r="39" spans="1:18" ht="14" x14ac:dyDescent="0.3">
      <c r="A39" s="374"/>
      <c r="B39" s="402" t="s">
        <v>41</v>
      </c>
      <c r="C39" s="402"/>
      <c r="D39" s="402"/>
      <c r="E39" s="395"/>
      <c r="F39" s="395"/>
      <c r="G39" s="395"/>
      <c r="H39" s="395"/>
      <c r="I39" s="375"/>
      <c r="J39" s="375"/>
      <c r="K39" s="376"/>
      <c r="L39" s="375"/>
      <c r="M39" s="375"/>
      <c r="N39" s="375"/>
      <c r="O39" s="375"/>
      <c r="P39" s="395"/>
      <c r="Q39" s="395"/>
      <c r="R39" s="374"/>
    </row>
    <row r="40" spans="1:18" x14ac:dyDescent="0.3">
      <c r="K40" s="377"/>
    </row>
    <row r="41" spans="1:18" s="353" customFormat="1" x14ac:dyDescent="0.3">
      <c r="B41" s="378" t="s">
        <v>42</v>
      </c>
      <c r="C41" s="378"/>
      <c r="D41" s="378"/>
      <c r="E41" s="378"/>
      <c r="F41" s="378"/>
      <c r="G41" s="378"/>
      <c r="H41" s="378"/>
      <c r="I41" s="378"/>
      <c r="J41" s="379"/>
      <c r="K41" s="380"/>
      <c r="L41" s="381"/>
      <c r="M41" s="381"/>
      <c r="N41" s="382"/>
    </row>
    <row r="42" spans="1:18" x14ac:dyDescent="0.3">
      <c r="B42" s="216"/>
      <c r="C42" s="216"/>
      <c r="D42" s="216"/>
      <c r="E42" s="216"/>
      <c r="F42" s="216"/>
      <c r="G42" s="216"/>
      <c r="H42" s="216"/>
      <c r="I42" s="216"/>
      <c r="J42" s="377"/>
      <c r="K42" s="377"/>
    </row>
    <row r="43" spans="1:18" x14ac:dyDescent="0.3">
      <c r="B43" s="348" t="s">
        <v>43</v>
      </c>
      <c r="C43" s="348"/>
      <c r="D43" s="348"/>
      <c r="E43" s="396" t="s">
        <v>44</v>
      </c>
      <c r="F43" s="396"/>
      <c r="G43" s="396"/>
      <c r="H43" s="396"/>
      <c r="I43" s="348" t="s">
        <v>45</v>
      </c>
      <c r="J43" s="231"/>
      <c r="K43" s="231"/>
      <c r="L43" s="348"/>
    </row>
    <row r="44" spans="1:18" x14ac:dyDescent="0.3">
      <c r="B44" s="394" t="s">
        <v>46</v>
      </c>
      <c r="C44" s="394"/>
      <c r="D44" s="394"/>
      <c r="E44" s="397" t="s">
        <v>47</v>
      </c>
      <c r="F44" s="397"/>
      <c r="G44" s="397"/>
      <c r="H44" s="397"/>
      <c r="I44" s="218" t="s">
        <v>48</v>
      </c>
      <c r="J44" s="231"/>
      <c r="K44" s="231"/>
    </row>
    <row r="45" spans="1:18" ht="20.9" customHeight="1" x14ac:dyDescent="0.3">
      <c r="B45" s="394" t="s">
        <v>49</v>
      </c>
      <c r="C45" s="394"/>
      <c r="D45" s="394"/>
      <c r="E45" s="397" t="s">
        <v>50</v>
      </c>
      <c r="F45" s="397"/>
      <c r="G45" s="397"/>
      <c r="H45" s="397"/>
      <c r="I45" s="218" t="s">
        <v>51</v>
      </c>
      <c r="J45" s="231"/>
      <c r="K45" s="231"/>
    </row>
    <row r="46" spans="1:18" ht="32.9" customHeight="1" x14ac:dyDescent="0.3">
      <c r="B46" s="394" t="s">
        <v>52</v>
      </c>
      <c r="C46" s="394"/>
      <c r="D46" s="394"/>
      <c r="E46" s="397" t="s">
        <v>53</v>
      </c>
      <c r="F46" s="397"/>
      <c r="G46" s="397"/>
      <c r="H46" s="397"/>
      <c r="I46" s="383" t="s">
        <v>48</v>
      </c>
      <c r="J46" s="231"/>
      <c r="K46" s="231"/>
    </row>
    <row r="47" spans="1:18" x14ac:dyDescent="0.3">
      <c r="B47" s="394" t="s">
        <v>54</v>
      </c>
      <c r="C47" s="394"/>
      <c r="D47" s="394"/>
      <c r="E47" s="397" t="s">
        <v>55</v>
      </c>
      <c r="F47" s="397"/>
      <c r="G47" s="397"/>
      <c r="H47" s="397"/>
      <c r="I47" s="383" t="s">
        <v>48</v>
      </c>
      <c r="J47" s="231"/>
      <c r="K47" s="231"/>
    </row>
    <row r="48" spans="1:18" x14ac:dyDescent="0.3">
      <c r="B48" s="384"/>
      <c r="C48" s="384"/>
      <c r="D48" s="384"/>
      <c r="E48" s="216"/>
      <c r="F48" s="216"/>
      <c r="G48" s="216"/>
      <c r="H48" s="216"/>
      <c r="I48" s="385"/>
      <c r="J48" s="377"/>
      <c r="K48" s="377"/>
    </row>
    <row r="49" spans="2:15" s="353" customFormat="1" x14ac:dyDescent="0.3">
      <c r="B49" s="378" t="s">
        <v>56</v>
      </c>
      <c r="C49" s="378"/>
      <c r="D49" s="378"/>
      <c r="E49" s="378"/>
      <c r="F49" s="378"/>
      <c r="G49" s="378"/>
      <c r="H49" s="378"/>
      <c r="I49" s="386"/>
      <c r="J49" s="379"/>
      <c r="K49" s="380"/>
      <c r="L49" s="381"/>
      <c r="M49" s="381"/>
      <c r="N49" s="382"/>
    </row>
    <row r="50" spans="2:15" x14ac:dyDescent="0.3">
      <c r="B50" s="384"/>
      <c r="C50" s="384"/>
      <c r="D50" s="384"/>
      <c r="E50" s="216"/>
      <c r="F50" s="216"/>
      <c r="G50" s="216"/>
      <c r="H50" s="216"/>
      <c r="I50" s="385"/>
      <c r="J50" s="377"/>
      <c r="K50" s="377"/>
    </row>
    <row r="51" spans="2:15" x14ac:dyDescent="0.3">
      <c r="B51" s="387" t="s">
        <v>43</v>
      </c>
      <c r="C51" s="387"/>
      <c r="D51" s="387"/>
      <c r="E51" s="396" t="s">
        <v>44</v>
      </c>
      <c r="F51" s="396"/>
      <c r="G51" s="396"/>
      <c r="H51" s="396"/>
      <c r="I51" s="388" t="s">
        <v>45</v>
      </c>
      <c r="J51" s="231"/>
      <c r="K51" s="231"/>
      <c r="L51" s="348"/>
    </row>
    <row r="52" spans="2:15" x14ac:dyDescent="0.3">
      <c r="B52" s="394" t="s">
        <v>57</v>
      </c>
      <c r="C52" s="394"/>
      <c r="D52" s="394"/>
      <c r="E52" s="397" t="s">
        <v>58</v>
      </c>
      <c r="F52" s="397"/>
      <c r="G52" s="397"/>
      <c r="H52" s="397"/>
      <c r="I52" s="383" t="s">
        <v>51</v>
      </c>
      <c r="J52" s="231"/>
      <c r="K52" s="231"/>
    </row>
    <row r="53" spans="2:15" ht="27.65" customHeight="1" x14ac:dyDescent="0.3">
      <c r="B53" s="394" t="s">
        <v>59</v>
      </c>
      <c r="C53" s="394"/>
      <c r="D53" s="394"/>
      <c r="E53" s="397" t="s">
        <v>60</v>
      </c>
      <c r="F53" s="397"/>
      <c r="G53" s="397"/>
      <c r="H53" s="397"/>
      <c r="I53" s="383" t="s">
        <v>51</v>
      </c>
      <c r="J53" s="231"/>
      <c r="K53" s="231"/>
    </row>
    <row r="54" spans="2:15" ht="25.4" customHeight="1" x14ac:dyDescent="0.3">
      <c r="B54" s="394" t="s">
        <v>61</v>
      </c>
      <c r="C54" s="394"/>
      <c r="D54" s="394"/>
      <c r="E54" s="398" t="s">
        <v>62</v>
      </c>
      <c r="F54" s="398"/>
      <c r="G54" s="398"/>
      <c r="H54" s="398"/>
      <c r="I54" s="383" t="s">
        <v>51</v>
      </c>
      <c r="J54" s="231"/>
      <c r="K54" s="231"/>
    </row>
    <row r="55" spans="2:15" x14ac:dyDescent="0.3">
      <c r="B55" s="384"/>
      <c r="C55" s="384"/>
      <c r="D55" s="384"/>
      <c r="E55" s="216"/>
      <c r="F55" s="216"/>
      <c r="G55" s="216"/>
      <c r="H55" s="216"/>
      <c r="I55" s="385"/>
      <c r="J55" s="377"/>
      <c r="K55" s="377"/>
    </row>
    <row r="56" spans="2:15" s="353" customFormat="1" x14ac:dyDescent="0.3">
      <c r="B56" s="378" t="s">
        <v>23</v>
      </c>
      <c r="C56" s="378"/>
      <c r="D56" s="378"/>
      <c r="E56" s="378"/>
      <c r="F56" s="378"/>
      <c r="G56" s="378"/>
      <c r="H56" s="378"/>
      <c r="I56" s="386"/>
      <c r="J56" s="379"/>
      <c r="K56" s="380"/>
      <c r="L56" s="381"/>
      <c r="M56" s="381"/>
      <c r="N56" s="382"/>
    </row>
    <row r="57" spans="2:15" x14ac:dyDescent="0.3">
      <c r="B57" s="384"/>
      <c r="C57" s="384"/>
      <c r="D57" s="384"/>
      <c r="E57" s="216"/>
      <c r="F57" s="216"/>
      <c r="G57" s="216"/>
      <c r="H57" s="216"/>
      <c r="I57" s="385"/>
      <c r="J57" s="377"/>
      <c r="K57" s="377"/>
    </row>
    <row r="58" spans="2:15" x14ac:dyDescent="0.3">
      <c r="B58" s="387" t="s">
        <v>43</v>
      </c>
      <c r="C58" s="387"/>
      <c r="D58" s="387"/>
      <c r="E58" s="396" t="s">
        <v>44</v>
      </c>
      <c r="F58" s="396"/>
      <c r="G58" s="396"/>
      <c r="H58" s="396"/>
      <c r="I58" s="388" t="s">
        <v>45</v>
      </c>
      <c r="J58" s="231"/>
      <c r="K58" s="231"/>
      <c r="L58" s="348"/>
    </row>
    <row r="59" spans="2:15" ht="30" customHeight="1" x14ac:dyDescent="0.3">
      <c r="B59" s="394" t="s">
        <v>63</v>
      </c>
      <c r="C59" s="394"/>
      <c r="D59" s="394"/>
      <c r="E59" s="397" t="s">
        <v>64</v>
      </c>
      <c r="F59" s="397"/>
      <c r="G59" s="397"/>
      <c r="H59" s="397"/>
      <c r="I59" s="383" t="s">
        <v>51</v>
      </c>
      <c r="J59" s="231"/>
      <c r="K59" s="231"/>
      <c r="L59" s="212"/>
      <c r="M59" s="212"/>
      <c r="N59" s="212"/>
      <c r="O59" s="212"/>
    </row>
    <row r="60" spans="2:15" ht="30" customHeight="1" x14ac:dyDescent="0.3">
      <c r="B60" s="394" t="s">
        <v>65</v>
      </c>
      <c r="C60" s="394"/>
      <c r="D60" s="394"/>
      <c r="E60" s="397" t="s">
        <v>66</v>
      </c>
      <c r="F60" s="397"/>
      <c r="G60" s="397"/>
      <c r="H60" s="397"/>
      <c r="I60" s="383" t="s">
        <v>51</v>
      </c>
      <c r="J60" s="231"/>
      <c r="K60" s="231"/>
      <c r="L60" s="212"/>
      <c r="M60" s="212"/>
      <c r="N60" s="212"/>
      <c r="O60" s="212"/>
    </row>
    <row r="61" spans="2:15" ht="30" customHeight="1" x14ac:dyDescent="0.3">
      <c r="B61" s="394" t="s">
        <v>67</v>
      </c>
      <c r="C61" s="394"/>
      <c r="D61" s="394"/>
      <c r="E61" s="397" t="s">
        <v>68</v>
      </c>
      <c r="F61" s="397"/>
      <c r="G61" s="397"/>
      <c r="H61" s="397"/>
      <c r="I61" s="383" t="s">
        <v>51</v>
      </c>
      <c r="J61" s="231"/>
      <c r="K61" s="231"/>
      <c r="L61" s="212"/>
      <c r="M61" s="212"/>
      <c r="N61" s="212"/>
      <c r="O61" s="212"/>
    </row>
    <row r="62" spans="2:15" ht="39" customHeight="1" x14ac:dyDescent="0.3">
      <c r="B62" s="394" t="s">
        <v>69</v>
      </c>
      <c r="C62" s="394"/>
      <c r="D62" s="394"/>
      <c r="E62" s="397" t="s">
        <v>70</v>
      </c>
      <c r="F62" s="397"/>
      <c r="G62" s="397"/>
      <c r="H62" s="397"/>
      <c r="I62" s="383" t="s">
        <v>51</v>
      </c>
      <c r="J62" s="231"/>
      <c r="K62" s="231"/>
      <c r="L62" s="212"/>
      <c r="M62" s="212"/>
      <c r="N62" s="212"/>
      <c r="O62" s="212"/>
    </row>
    <row r="63" spans="2:15" ht="21" customHeight="1" x14ac:dyDescent="0.3">
      <c r="B63" s="394" t="s">
        <v>71</v>
      </c>
      <c r="C63" s="394"/>
      <c r="D63" s="394"/>
      <c r="E63" s="397" t="s">
        <v>72</v>
      </c>
      <c r="F63" s="397"/>
      <c r="G63" s="397"/>
      <c r="H63" s="397"/>
      <c r="I63" s="383" t="s">
        <v>51</v>
      </c>
      <c r="J63" s="231"/>
      <c r="K63" s="231"/>
    </row>
    <row r="64" spans="2:15" x14ac:dyDescent="0.3">
      <c r="B64" s="389"/>
      <c r="C64" s="389"/>
      <c r="D64" s="389"/>
      <c r="E64" s="217"/>
      <c r="F64" s="217"/>
      <c r="G64" s="217"/>
      <c r="H64" s="217"/>
      <c r="I64" s="385"/>
      <c r="J64" s="231"/>
      <c r="K64" s="231"/>
    </row>
    <row r="65" spans="1:25" s="353" customFormat="1" x14ac:dyDescent="0.3">
      <c r="B65" s="378" t="s">
        <v>73</v>
      </c>
      <c r="C65" s="378"/>
      <c r="D65" s="378"/>
      <c r="E65" s="378"/>
      <c r="F65" s="378"/>
      <c r="G65" s="378"/>
      <c r="H65" s="378"/>
      <c r="I65" s="386"/>
      <c r="J65" s="379"/>
      <c r="K65" s="380"/>
      <c r="L65" s="381"/>
      <c r="M65" s="381"/>
      <c r="N65" s="382"/>
    </row>
    <row r="66" spans="1:25" x14ac:dyDescent="0.3">
      <c r="B66" s="384"/>
      <c r="C66" s="384"/>
      <c r="D66" s="384"/>
      <c r="E66" s="216"/>
      <c r="F66" s="216"/>
      <c r="G66" s="216"/>
      <c r="H66" s="216"/>
      <c r="I66" s="385"/>
    </row>
    <row r="67" spans="1:25" x14ac:dyDescent="0.3">
      <c r="B67" s="387" t="s">
        <v>43</v>
      </c>
      <c r="C67" s="387"/>
      <c r="D67" s="387"/>
      <c r="E67" s="396" t="s">
        <v>44</v>
      </c>
      <c r="F67" s="396"/>
      <c r="G67" s="396"/>
      <c r="H67" s="396"/>
      <c r="I67" s="388" t="s">
        <v>45</v>
      </c>
      <c r="J67" s="212"/>
      <c r="K67" s="212"/>
      <c r="L67" s="348"/>
    </row>
    <row r="68" spans="1:25" x14ac:dyDescent="0.3">
      <c r="B68" s="394" t="s">
        <v>74</v>
      </c>
      <c r="C68" s="394"/>
      <c r="D68" s="394"/>
      <c r="E68" s="397" t="s">
        <v>75</v>
      </c>
      <c r="F68" s="397"/>
      <c r="G68" s="397"/>
      <c r="H68" s="397"/>
      <c r="I68" s="383" t="s">
        <v>48</v>
      </c>
      <c r="J68" s="212"/>
      <c r="K68" s="212"/>
    </row>
    <row r="69" spans="1:25" x14ac:dyDescent="0.3">
      <c r="B69" s="394"/>
      <c r="C69" s="394"/>
      <c r="D69" s="394"/>
      <c r="E69" s="397"/>
      <c r="F69" s="397"/>
      <c r="G69" s="397"/>
      <c r="H69" s="397"/>
      <c r="I69" s="383"/>
      <c r="J69" s="212"/>
      <c r="K69" s="212"/>
    </row>
    <row r="70" spans="1:25" x14ac:dyDescent="0.3">
      <c r="B70" s="394"/>
      <c r="C70" s="394"/>
      <c r="D70" s="394"/>
      <c r="E70" s="397"/>
      <c r="F70" s="397"/>
      <c r="G70" s="397"/>
      <c r="H70" s="397"/>
      <c r="I70" s="383"/>
      <c r="J70" s="212"/>
      <c r="K70" s="212"/>
    </row>
    <row r="71" spans="1:25" x14ac:dyDescent="0.3">
      <c r="B71" s="394"/>
      <c r="C71" s="394"/>
      <c r="D71" s="394"/>
      <c r="E71" s="397"/>
      <c r="F71" s="397"/>
      <c r="G71" s="397"/>
      <c r="H71" s="397"/>
      <c r="I71" s="383"/>
      <c r="J71" s="212"/>
      <c r="K71" s="212"/>
    </row>
    <row r="72" spans="1:25" x14ac:dyDescent="0.3">
      <c r="B72" s="394"/>
      <c r="C72" s="394"/>
      <c r="D72" s="394"/>
      <c r="E72" s="397"/>
      <c r="F72" s="397"/>
      <c r="G72" s="397"/>
      <c r="H72" s="397"/>
      <c r="I72" s="383"/>
      <c r="J72" s="212"/>
      <c r="K72" s="212"/>
    </row>
    <row r="73" spans="1:25" x14ac:dyDescent="0.3">
      <c r="B73" s="394"/>
      <c r="C73" s="394"/>
      <c r="D73" s="394"/>
      <c r="E73" s="397"/>
      <c r="F73" s="397"/>
      <c r="G73" s="397"/>
      <c r="H73" s="397"/>
      <c r="I73" s="383"/>
      <c r="J73" s="212"/>
      <c r="K73" s="212"/>
    </row>
    <row r="74" spans="1:25" x14ac:dyDescent="0.3">
      <c r="B74" s="394"/>
      <c r="C74" s="394"/>
      <c r="D74" s="394"/>
      <c r="E74" s="397"/>
      <c r="F74" s="397"/>
      <c r="G74" s="397"/>
      <c r="H74" s="397"/>
      <c r="I74" s="383"/>
      <c r="J74" s="212"/>
      <c r="K74" s="212"/>
    </row>
    <row r="75" spans="1:25" x14ac:dyDescent="0.3">
      <c r="B75" s="394"/>
      <c r="C75" s="394"/>
      <c r="D75" s="394"/>
      <c r="E75" s="397"/>
      <c r="F75" s="397"/>
      <c r="G75" s="397"/>
      <c r="H75" s="397"/>
      <c r="I75" s="383"/>
      <c r="J75" s="212"/>
      <c r="K75" s="212"/>
    </row>
    <row r="76" spans="1:25" x14ac:dyDescent="0.3">
      <c r="B76" s="394"/>
      <c r="C76" s="394"/>
      <c r="D76" s="394"/>
      <c r="E76" s="397"/>
      <c r="F76" s="397"/>
      <c r="G76" s="397"/>
      <c r="H76" s="397"/>
      <c r="I76" s="383"/>
      <c r="J76" s="212"/>
      <c r="K76" s="212"/>
    </row>
    <row r="77" spans="1:25" x14ac:dyDescent="0.3">
      <c r="B77" s="394"/>
      <c r="C77" s="394"/>
      <c r="D77" s="394"/>
      <c r="E77" s="398"/>
      <c r="F77" s="398"/>
      <c r="G77" s="398"/>
      <c r="H77" s="398"/>
      <c r="I77" s="383"/>
      <c r="J77" s="212"/>
      <c r="K77" s="212"/>
    </row>
    <row r="78" spans="1:25" x14ac:dyDescent="0.3"/>
    <row r="79" spans="1:25" x14ac:dyDescent="0.3">
      <c r="A79" s="390"/>
      <c r="B79" s="390" t="s">
        <v>76</v>
      </c>
      <c r="C79" s="390"/>
      <c r="D79" s="390"/>
      <c r="E79" s="390"/>
      <c r="F79" s="390"/>
      <c r="G79" s="390"/>
      <c r="H79" s="390"/>
      <c r="I79" s="391"/>
      <c r="J79" s="392"/>
      <c r="K79" s="392"/>
      <c r="L79" s="392"/>
      <c r="M79" s="392"/>
      <c r="N79" s="393"/>
      <c r="O79" s="393"/>
      <c r="P79" s="393"/>
      <c r="Q79" s="393"/>
      <c r="R79" s="393"/>
      <c r="S79" s="393"/>
      <c r="T79" s="393"/>
      <c r="U79" s="393"/>
      <c r="V79" s="393"/>
      <c r="W79" s="393"/>
      <c r="X79" s="393"/>
      <c r="Y79" s="393"/>
    </row>
  </sheetData>
  <sheetProtection algorithmName="SHA-512" hashValue="q6ZhquMyKjYBpYCPoezogkPyf9ojWCVCyrZwyunjJWK6p06kkCAufCakA0JE/2O6ILGMA9JpASi1l/DvWCR6ow==" saltValue="Gco7XOsZkv9Qj7BSVPUfcA==" spinCount="100000" sheet="1" objects="1" scenarios="1"/>
  <mergeCells count="54">
    <mergeCell ref="E77:H77"/>
    <mergeCell ref="E73:H73"/>
    <mergeCell ref="E74:H74"/>
    <mergeCell ref="E75:H75"/>
    <mergeCell ref="E76:H76"/>
    <mergeCell ref="E72:H72"/>
    <mergeCell ref="E60:H60"/>
    <mergeCell ref="E61:H61"/>
    <mergeCell ref="E62:H62"/>
    <mergeCell ref="E58:H58"/>
    <mergeCell ref="E63:H63"/>
    <mergeCell ref="E67:H67"/>
    <mergeCell ref="E68:H68"/>
    <mergeCell ref="E69:H69"/>
    <mergeCell ref="E70:H70"/>
    <mergeCell ref="E71:H71"/>
    <mergeCell ref="G2:J8"/>
    <mergeCell ref="E47:H47"/>
    <mergeCell ref="E52:H52"/>
    <mergeCell ref="B8:E13"/>
    <mergeCell ref="B39:D39"/>
    <mergeCell ref="E39:F39"/>
    <mergeCell ref="G39:H39"/>
    <mergeCell ref="B44:D44"/>
    <mergeCell ref="B47:D47"/>
    <mergeCell ref="B52:D52"/>
    <mergeCell ref="E51:H51"/>
    <mergeCell ref="B53:D53"/>
    <mergeCell ref="B54:D54"/>
    <mergeCell ref="B59:D59"/>
    <mergeCell ref="B60:D60"/>
    <mergeCell ref="P39:Q39"/>
    <mergeCell ref="E43:H43"/>
    <mergeCell ref="E46:H46"/>
    <mergeCell ref="E44:H44"/>
    <mergeCell ref="E45:H45"/>
    <mergeCell ref="B45:D45"/>
    <mergeCell ref="B46:D46"/>
    <mergeCell ref="E53:H53"/>
    <mergeCell ref="E54:H54"/>
    <mergeCell ref="E59:H59"/>
    <mergeCell ref="B61:D61"/>
    <mergeCell ref="B62:D62"/>
    <mergeCell ref="B63:D63"/>
    <mergeCell ref="B68:D68"/>
    <mergeCell ref="B69:D69"/>
    <mergeCell ref="B75:D75"/>
    <mergeCell ref="B76:D76"/>
    <mergeCell ref="B77:D77"/>
    <mergeCell ref="B70:D70"/>
    <mergeCell ref="B71:D71"/>
    <mergeCell ref="B72:D72"/>
    <mergeCell ref="B73:D73"/>
    <mergeCell ref="B74:D74"/>
  </mergeCells>
  <phoneticPr fontId="7" type="noConversion"/>
  <pageMargins left="0.7" right="0.7" top="0.75" bottom="0.75" header="0.3" footer="0.3"/>
  <pageSetup paperSize="9" orientation="portrait" horizontalDpi="4294967293" r:id="rId1"/>
  <drawing r:id="rId2"/>
  <tableParts count="2">
    <tablePart r:id="rId3"/>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D885C-ECCC-4CFF-8AD4-1727BCCEAE43}">
  <sheetPr>
    <tabColor rgb="FF6D65A0"/>
    <pageSetUpPr autoPageBreaks="0"/>
  </sheetPr>
  <dimension ref="A1:N52"/>
  <sheetViews>
    <sheetView showGridLines="0" zoomScale="90" zoomScaleNormal="90" workbookViewId="0">
      <pane xSplit="9" ySplit="13" topLeftCell="J14" activePane="bottomRight" state="frozen"/>
      <selection pane="topRight" activeCell="J1" sqref="J1"/>
      <selection pane="bottomLeft" activeCell="A12" sqref="A12"/>
      <selection pane="bottomRight" activeCell="A2" sqref="A2"/>
    </sheetView>
  </sheetViews>
  <sheetFormatPr defaultColWidth="0" defaultRowHeight="13" zeroHeight="1" x14ac:dyDescent="0.3"/>
  <cols>
    <col min="1" max="3" width="2.453125" style="8" customWidth="1"/>
    <col min="4" max="4" width="2.453125" style="32" customWidth="1"/>
    <col min="5" max="5" width="2.453125" style="26" customWidth="1"/>
    <col min="6" max="6" width="30.453125" style="8" customWidth="1"/>
    <col min="7" max="7" width="2.54296875" style="8" customWidth="1"/>
    <col min="8" max="8" width="11.453125" style="8" bestFit="1" customWidth="1"/>
    <col min="9" max="9" width="2.54296875" style="41" customWidth="1"/>
    <col min="10" max="10" width="12.453125" style="138" bestFit="1" customWidth="1"/>
    <col min="11" max="11" width="14.453125" style="138" customWidth="1"/>
    <col min="12" max="13" width="14.453125" style="138" bestFit="1" customWidth="1"/>
    <col min="14" max="14" width="2.54296875" style="8" customWidth="1"/>
    <col min="15" max="16384" width="8.54296875" style="8" hidden="1"/>
  </cols>
  <sheetData>
    <row r="1" spans="1:14" s="13" customFormat="1" ht="17.5" x14ac:dyDescent="0.3">
      <c r="A1" s="11" t="str" cm="1">
        <f t="array" aca="1" ref="A1" ca="1">RIGHT(CELL("filename",A$2),LEN(CELL("filename",A$2))-FIND("]",CELL("filename",A$2)))</f>
        <v>Bulk Supply Tariffs</v>
      </c>
      <c r="B1" s="11"/>
      <c r="C1" s="11"/>
      <c r="D1" s="11"/>
      <c r="E1" s="11"/>
      <c r="F1" s="11"/>
      <c r="G1" s="11"/>
      <c r="H1" s="11"/>
      <c r="I1" s="37"/>
      <c r="J1" s="140"/>
      <c r="K1" s="140"/>
      <c r="L1" s="140"/>
      <c r="M1" s="140"/>
    </row>
    <row r="2" spans="1:14" s="1" customFormat="1" x14ac:dyDescent="0.3">
      <c r="A2" s="14"/>
      <c r="B2" s="14"/>
      <c r="C2" s="14"/>
      <c r="D2" s="14"/>
      <c r="E2" s="14"/>
      <c r="F2" s="14"/>
      <c r="G2" s="14"/>
      <c r="H2" s="14"/>
      <c r="I2" s="38"/>
      <c r="J2" s="141"/>
      <c r="K2" s="141"/>
      <c r="L2" s="141"/>
      <c r="M2" s="141"/>
      <c r="N2" s="14"/>
    </row>
    <row r="3" spans="1:14" customFormat="1" x14ac:dyDescent="0.3">
      <c r="A3" s="31" t="s">
        <v>176</v>
      </c>
      <c r="D3" s="3"/>
      <c r="E3" s="33"/>
      <c r="I3" s="39"/>
      <c r="J3" s="142"/>
      <c r="K3" s="142"/>
      <c r="L3" s="142"/>
      <c r="M3" s="142"/>
    </row>
    <row r="4" spans="1:14" ht="13.5" customHeight="1" x14ac:dyDescent="0.3">
      <c r="E4" s="32"/>
      <c r="F4" s="32"/>
      <c r="G4" s="32"/>
      <c r="H4" s="32"/>
      <c r="I4" s="40"/>
      <c r="J4" s="143"/>
    </row>
    <row r="5" spans="1:14" customFormat="1" x14ac:dyDescent="0.3">
      <c r="B5" s="15" t="s">
        <v>44</v>
      </c>
      <c r="C5" s="15"/>
      <c r="D5" s="15"/>
      <c r="E5" s="15"/>
      <c r="F5" s="15"/>
      <c r="G5" s="15"/>
      <c r="H5" s="15"/>
      <c r="I5" s="37"/>
      <c r="J5" s="144"/>
      <c r="K5" s="144"/>
      <c r="L5" s="144"/>
      <c r="M5" s="144"/>
      <c r="N5" s="15"/>
    </row>
    <row r="6" spans="1:14" ht="4.4000000000000004" customHeight="1" x14ac:dyDescent="0.3">
      <c r="F6" s="413" t="s">
        <v>66</v>
      </c>
      <c r="G6" s="413"/>
      <c r="H6" s="413"/>
      <c r="I6" s="413"/>
      <c r="J6" s="413"/>
      <c r="K6" s="413"/>
    </row>
    <row r="7" spans="1:14" ht="3" customHeight="1" x14ac:dyDescent="0.3">
      <c r="D7" s="3"/>
      <c r="F7" s="413"/>
      <c r="G7" s="413"/>
      <c r="H7" s="413"/>
      <c r="I7" s="413"/>
      <c r="J7" s="413"/>
      <c r="K7" s="413"/>
    </row>
    <row r="8" spans="1:14" x14ac:dyDescent="0.3">
      <c r="D8" s="3"/>
      <c r="F8" s="413"/>
      <c r="G8" s="413"/>
      <c r="H8" s="413"/>
      <c r="I8" s="413"/>
      <c r="J8" s="413"/>
      <c r="K8" s="413"/>
    </row>
    <row r="9" spans="1:14" x14ac:dyDescent="0.3">
      <c r="D9" s="3"/>
      <c r="F9" s="413"/>
      <c r="G9" s="413"/>
      <c r="H9" s="413"/>
      <c r="I9" s="413"/>
      <c r="J9" s="413"/>
      <c r="K9" s="413"/>
    </row>
    <row r="10" spans="1:14" x14ac:dyDescent="0.3">
      <c r="D10" s="3"/>
      <c r="F10" s="153"/>
      <c r="G10" s="153"/>
      <c r="H10" s="153"/>
      <c r="I10" s="153"/>
      <c r="J10" s="153"/>
      <c r="K10" s="153"/>
    </row>
    <row r="11" spans="1:14" x14ac:dyDescent="0.3">
      <c r="D11" s="3"/>
      <c r="F11" s="48" t="s">
        <v>85</v>
      </c>
      <c r="G11" s="219" t="s">
        <v>83</v>
      </c>
      <c r="H11" s="153"/>
      <c r="I11" s="153"/>
      <c r="J11" s="153">
        <f>Cockpit!I17</f>
        <v>0</v>
      </c>
      <c r="K11" s="153"/>
    </row>
    <row r="12" spans="1:14" x14ac:dyDescent="0.3">
      <c r="D12" s="3"/>
      <c r="F12" s="48" t="s">
        <v>86</v>
      </c>
      <c r="G12" s="219" t="s">
        <v>83</v>
      </c>
      <c r="J12" s="153">
        <f>Cockpit!I18</f>
        <v>0</v>
      </c>
    </row>
    <row r="13" spans="1:14" x14ac:dyDescent="0.3">
      <c r="D13" s="3"/>
      <c r="J13" s="161" t="s">
        <v>268</v>
      </c>
      <c r="K13" s="162" t="s">
        <v>216</v>
      </c>
      <c r="L13" s="162" t="s">
        <v>218</v>
      </c>
      <c r="M13" s="162" t="s">
        <v>219</v>
      </c>
    </row>
    <row r="14" spans="1:14" x14ac:dyDescent="0.3">
      <c r="B14" s="15" t="s">
        <v>73</v>
      </c>
      <c r="C14" s="15"/>
      <c r="D14" s="15"/>
      <c r="E14" s="15"/>
      <c r="F14" s="15"/>
      <c r="G14" s="15"/>
      <c r="H14" s="15"/>
      <c r="I14" s="15"/>
      <c r="J14" s="144"/>
      <c r="K14" s="144"/>
      <c r="L14" s="144"/>
      <c r="M14" s="144"/>
      <c r="N14" s="91"/>
    </row>
    <row r="15" spans="1:14" x14ac:dyDescent="0.3">
      <c r="H15" s="3"/>
      <c r="I15" s="44"/>
      <c r="J15" s="145"/>
      <c r="K15" s="145"/>
      <c r="L15" s="145"/>
      <c r="M15" s="145"/>
      <c r="N15" s="3"/>
    </row>
    <row r="16" spans="1:14" s="7" customFormat="1" x14ac:dyDescent="0.3">
      <c r="A16" s="55"/>
      <c r="B16" s="8"/>
      <c r="C16" s="8"/>
      <c r="D16" s="160" t="s">
        <v>199</v>
      </c>
      <c r="E16" s="26"/>
      <c r="G16" s="8"/>
      <c r="H16" s="42" t="s">
        <v>198</v>
      </c>
      <c r="I16" s="42"/>
      <c r="J16" s="149">
        <f>'Avoided Operating Costs'!L104</f>
        <v>0</v>
      </c>
      <c r="K16" s="149">
        <f>'Avoided Operating Costs'!M104</f>
        <v>0</v>
      </c>
      <c r="L16" s="149">
        <f>'Avoided Operating Costs'!N104</f>
        <v>0</v>
      </c>
      <c r="M16" s="149">
        <f>'Avoided Operating Costs'!O104</f>
        <v>0</v>
      </c>
      <c r="N16" s="108"/>
    </row>
    <row r="17" spans="1:14" s="7" customFormat="1" x14ac:dyDescent="0.3">
      <c r="A17" s="55"/>
      <c r="B17" s="8"/>
      <c r="C17" s="8"/>
      <c r="D17" s="3"/>
      <c r="E17" s="26"/>
      <c r="F17" s="8"/>
      <c r="G17" s="8"/>
      <c r="H17" s="42"/>
      <c r="I17" s="42"/>
      <c r="J17" s="145"/>
      <c r="K17" s="145"/>
      <c r="L17" s="146"/>
      <c r="M17" s="146"/>
      <c r="N17" s="108"/>
    </row>
    <row r="18" spans="1:14" x14ac:dyDescent="0.3">
      <c r="C18" s="106" t="s">
        <v>223</v>
      </c>
      <c r="D18" s="106"/>
      <c r="E18" s="106"/>
      <c r="F18" s="106"/>
      <c r="G18" s="106"/>
      <c r="H18" s="106"/>
      <c r="I18" s="106"/>
      <c r="J18" s="106"/>
      <c r="K18" s="159"/>
      <c r="L18" s="159"/>
      <c r="M18" s="159"/>
      <c r="N18" s="55"/>
    </row>
    <row r="19" spans="1:14" s="7" customFormat="1" x14ac:dyDescent="0.3">
      <c r="A19" s="55"/>
      <c r="B19" s="8"/>
      <c r="C19" s="8"/>
      <c r="E19" s="33"/>
      <c r="F19" s="3"/>
      <c r="G19" s="3"/>
      <c r="H19" s="3"/>
      <c r="I19" s="42"/>
      <c r="J19" s="145"/>
      <c r="K19" s="145"/>
      <c r="L19" s="146"/>
      <c r="M19" s="146"/>
      <c r="N19" s="108"/>
    </row>
    <row r="20" spans="1:14" s="7" customFormat="1" x14ac:dyDescent="0.3">
      <c r="A20" s="55"/>
      <c r="B20" s="8"/>
      <c r="C20" s="8"/>
      <c r="D20" s="3" t="s">
        <v>282</v>
      </c>
      <c r="E20" s="33"/>
      <c r="F20" s="3"/>
      <c r="G20" s="3"/>
      <c r="H20" s="3"/>
      <c r="I20" s="42"/>
      <c r="J20" s="145"/>
      <c r="K20" s="145"/>
      <c r="L20" s="146"/>
      <c r="M20" s="146"/>
      <c r="N20" s="108"/>
    </row>
    <row r="21" spans="1:14" s="7" customFormat="1" x14ac:dyDescent="0.3">
      <c r="A21" s="55"/>
      <c r="B21" s="8"/>
      <c r="C21" s="8"/>
      <c r="D21" s="3"/>
      <c r="E21" s="26"/>
      <c r="F21" s="8" t="s">
        <v>283</v>
      </c>
      <c r="G21" s="8"/>
      <c r="H21" s="42" t="s">
        <v>102</v>
      </c>
      <c r="I21" s="42"/>
      <c r="J21" s="139" t="e">
        <f>'Relevant starting point'!$J$80</f>
        <v>#DIV/0!</v>
      </c>
      <c r="K21" s="121" t="e">
        <f t="shared" ref="K21:M22" si="0">J21</f>
        <v>#DIV/0!</v>
      </c>
      <c r="L21" s="121" t="e">
        <f t="shared" si="0"/>
        <v>#DIV/0!</v>
      </c>
      <c r="M21" s="121" t="e">
        <f t="shared" si="0"/>
        <v>#DIV/0!</v>
      </c>
      <c r="N21" s="108"/>
    </row>
    <row r="22" spans="1:14" s="7" customFormat="1" x14ac:dyDescent="0.3">
      <c r="A22" s="55"/>
      <c r="B22" s="8"/>
      <c r="C22" s="8"/>
      <c r="D22" s="3"/>
      <c r="E22" s="26"/>
      <c r="F22" s="8" t="s">
        <v>105</v>
      </c>
      <c r="G22" s="8"/>
      <c r="H22" s="42" t="s">
        <v>230</v>
      </c>
      <c r="I22" s="42"/>
      <c r="J22" s="139">
        <f>'Relevant starting point'!J81</f>
        <v>0</v>
      </c>
      <c r="K22" s="121">
        <f t="shared" si="0"/>
        <v>0</v>
      </c>
      <c r="L22" s="121">
        <f t="shared" si="0"/>
        <v>0</v>
      </c>
      <c r="M22" s="121">
        <f t="shared" si="0"/>
        <v>0</v>
      </c>
      <c r="N22" s="108"/>
    </row>
    <row r="23" spans="1:14" x14ac:dyDescent="0.3">
      <c r="N23" s="55"/>
    </row>
    <row r="24" spans="1:14" x14ac:dyDescent="0.3">
      <c r="A24" s="55"/>
      <c r="D24" s="3" t="s">
        <v>237</v>
      </c>
      <c r="F24" s="3"/>
      <c r="G24" s="3"/>
      <c r="H24" s="3"/>
      <c r="I24" s="42"/>
      <c r="J24" s="145"/>
      <c r="K24" s="136"/>
      <c r="L24" s="136"/>
      <c r="M24" s="136"/>
      <c r="N24" s="55"/>
    </row>
    <row r="25" spans="1:14" s="7" customFormat="1" x14ac:dyDescent="0.3">
      <c r="A25" s="55"/>
      <c r="B25" s="8"/>
      <c r="C25" s="8"/>
      <c r="D25" s="3"/>
      <c r="E25" s="33"/>
      <c r="F25" s="8" t="s">
        <v>284</v>
      </c>
      <c r="G25" s="8"/>
      <c r="H25" s="42" t="s">
        <v>230</v>
      </c>
      <c r="I25" s="42"/>
      <c r="J25" s="139" t="e">
        <f>'Avoided Operating Costs'!L92+'Avoided Operating Costs'!L94+'Avoided Operating Costs'!L95</f>
        <v>#DIV/0!</v>
      </c>
      <c r="K25" s="139">
        <f>'Avoided Operating Costs'!M92+'Avoided Operating Costs'!M94+'Avoided Operating Costs'!M95</f>
        <v>13.55872171639118</v>
      </c>
      <c r="L25" s="139">
        <f>'Avoided Operating Costs'!N92+'Avoided Operating Costs'!N94+'Avoided Operating Costs'!N95</f>
        <v>13.223495281677337</v>
      </c>
      <c r="M25" s="139">
        <f>'Avoided Operating Costs'!O92+'Avoided Operating Costs'!O94+'Avoided Operating Costs'!O95</f>
        <v>12.006608870267314</v>
      </c>
      <c r="N25" s="108"/>
    </row>
    <row r="26" spans="1:14" s="7" customFormat="1" x14ac:dyDescent="0.3">
      <c r="A26" s="55"/>
      <c r="B26" s="8"/>
      <c r="C26" s="8"/>
      <c r="D26" s="32"/>
      <c r="E26" s="26"/>
      <c r="F26" s="8" t="s">
        <v>285</v>
      </c>
      <c r="G26" s="8"/>
      <c r="H26" s="42" t="s">
        <v>230</v>
      </c>
      <c r="I26" s="41"/>
      <c r="J26" s="139" t="e">
        <f>'Avoided Operating Costs'!L96</f>
        <v>#DIV/0!</v>
      </c>
      <c r="K26" s="139">
        <f>'Avoided Operating Costs'!M96</f>
        <v>1.9606808261121833</v>
      </c>
      <c r="L26" s="139">
        <f>'Avoided Operating Costs'!N96</f>
        <v>1.9134378055925705</v>
      </c>
      <c r="M26" s="139">
        <f>'Avoided Operating Costs'!O96</f>
        <v>1.7419436042078971</v>
      </c>
      <c r="N26" s="108"/>
    </row>
    <row r="27" spans="1:14" s="7" customFormat="1" x14ac:dyDescent="0.3">
      <c r="A27" s="55"/>
      <c r="B27" s="8"/>
      <c r="C27" s="8"/>
      <c r="D27" s="32"/>
      <c r="E27" s="26"/>
      <c r="F27" s="8" t="s">
        <v>286</v>
      </c>
      <c r="G27" s="8"/>
      <c r="H27" s="42" t="s">
        <v>230</v>
      </c>
      <c r="I27" s="41"/>
      <c r="J27" s="139">
        <f>'Avoided Operating Costs'!L93</f>
        <v>0.35385279133983155</v>
      </c>
      <c r="K27" s="139">
        <f>'Avoided Operating Costs'!M93</f>
        <v>0.35385279133983155</v>
      </c>
      <c r="L27" s="139">
        <f>'Avoided Operating Costs'!N93</f>
        <v>0.35385279133983155</v>
      </c>
      <c r="M27" s="139">
        <f>'Avoided Operating Costs'!O93</f>
        <v>0.35385279133983155</v>
      </c>
      <c r="N27" s="108"/>
    </row>
    <row r="28" spans="1:14" s="7" customFormat="1" x14ac:dyDescent="0.3">
      <c r="A28" s="55"/>
      <c r="B28" s="8"/>
      <c r="C28" s="8"/>
      <c r="D28" s="32"/>
      <c r="E28" s="26"/>
      <c r="F28" s="8" t="s">
        <v>287</v>
      </c>
      <c r="G28" s="8"/>
      <c r="H28" s="42" t="s">
        <v>230</v>
      </c>
      <c r="I28" s="41"/>
      <c r="J28" s="139" t="e">
        <f>'Avoided Capital Maintenance'!J72</f>
        <v>#DIV/0!</v>
      </c>
      <c r="K28" s="139">
        <f>'Avoided Capital Maintenance'!K72</f>
        <v>31.73008052673617</v>
      </c>
      <c r="L28" s="139">
        <f>'Avoided Capital Maintenance'!L72</f>
        <v>31.356678563161577</v>
      </c>
      <c r="M28" s="139">
        <f>'Avoided Capital Maintenance'!M72</f>
        <v>30.001213336036454</v>
      </c>
      <c r="N28" s="108"/>
    </row>
    <row r="29" spans="1:14" s="7" customFormat="1" x14ac:dyDescent="0.3">
      <c r="A29" s="55"/>
      <c r="B29" s="8"/>
      <c r="C29" s="8"/>
      <c r="D29" s="3"/>
      <c r="E29" s="26"/>
      <c r="F29" s="3"/>
      <c r="G29" s="3"/>
      <c r="H29" s="3"/>
      <c r="I29" s="42"/>
      <c r="J29" s="145"/>
      <c r="K29" s="145"/>
      <c r="L29" s="146"/>
      <c r="M29" s="146"/>
      <c r="N29" s="108"/>
    </row>
    <row r="30" spans="1:14" x14ac:dyDescent="0.3">
      <c r="C30" s="106" t="s">
        <v>224</v>
      </c>
      <c r="D30" s="106"/>
      <c r="E30" s="106"/>
      <c r="F30" s="106"/>
      <c r="G30" s="106"/>
      <c r="H30" s="106"/>
      <c r="I30" s="106"/>
      <c r="J30" s="106"/>
      <c r="K30" s="159"/>
      <c r="L30" s="159"/>
      <c r="M30" s="159"/>
      <c r="N30" s="55"/>
    </row>
    <row r="31" spans="1:14" s="7" customFormat="1" x14ac:dyDescent="0.3">
      <c r="A31" s="55"/>
      <c r="B31" s="8"/>
      <c r="C31" s="8"/>
      <c r="E31" s="33"/>
      <c r="F31" s="3"/>
      <c r="G31" s="3"/>
      <c r="H31" s="3"/>
      <c r="I31" s="42"/>
      <c r="J31" s="145"/>
      <c r="K31" s="145"/>
      <c r="L31" s="146"/>
      <c r="M31" s="146"/>
      <c r="N31" s="108"/>
    </row>
    <row r="32" spans="1:14" s="7" customFormat="1" x14ac:dyDescent="0.3">
      <c r="A32" s="55"/>
      <c r="B32" s="8"/>
      <c r="C32" s="8"/>
      <c r="D32" s="3" t="s">
        <v>282</v>
      </c>
      <c r="E32" s="33"/>
      <c r="F32" s="3"/>
      <c r="G32" s="3"/>
      <c r="H32" s="3"/>
      <c r="I32" s="42"/>
      <c r="J32" s="145"/>
      <c r="K32" s="145"/>
      <c r="L32" s="146"/>
      <c r="M32" s="146"/>
      <c r="N32" s="108"/>
    </row>
    <row r="33" spans="1:14" s="7" customFormat="1" x14ac:dyDescent="0.3">
      <c r="A33" s="55"/>
      <c r="B33" s="8"/>
      <c r="C33" s="8"/>
      <c r="D33" s="3"/>
      <c r="E33" s="26"/>
      <c r="F33" s="8" t="s">
        <v>283</v>
      </c>
      <c r="G33" s="8"/>
      <c r="H33" s="42" t="s">
        <v>102</v>
      </c>
      <c r="I33" s="42"/>
      <c r="J33" s="139" t="e">
        <f>'Relevant starting point'!$K$80</f>
        <v>#DIV/0!</v>
      </c>
      <c r="K33" s="121" t="e">
        <f>J33</f>
        <v>#DIV/0!</v>
      </c>
      <c r="L33" s="121" t="e">
        <f t="shared" ref="K33:M34" si="1">K33</f>
        <v>#DIV/0!</v>
      </c>
      <c r="M33" s="121" t="e">
        <f t="shared" si="1"/>
        <v>#DIV/0!</v>
      </c>
      <c r="N33" s="108"/>
    </row>
    <row r="34" spans="1:14" s="7" customFormat="1" x14ac:dyDescent="0.3">
      <c r="A34" s="55"/>
      <c r="B34" s="8"/>
      <c r="C34" s="8"/>
      <c r="D34" s="3"/>
      <c r="E34" s="26"/>
      <c r="F34" s="8" t="s">
        <v>105</v>
      </c>
      <c r="G34" s="8"/>
      <c r="H34" s="42" t="s">
        <v>230</v>
      </c>
      <c r="I34" s="42"/>
      <c r="J34" s="139">
        <f>'Relevant starting point'!$K$81</f>
        <v>0</v>
      </c>
      <c r="K34" s="121">
        <f t="shared" si="1"/>
        <v>0</v>
      </c>
      <c r="L34" s="121">
        <f t="shared" si="1"/>
        <v>0</v>
      </c>
      <c r="M34" s="121">
        <f t="shared" si="1"/>
        <v>0</v>
      </c>
      <c r="N34" s="108"/>
    </row>
    <row r="35" spans="1:14" x14ac:dyDescent="0.3">
      <c r="N35" s="55"/>
    </row>
    <row r="36" spans="1:14" x14ac:dyDescent="0.3">
      <c r="A36" s="55"/>
      <c r="D36" s="3" t="s">
        <v>237</v>
      </c>
      <c r="F36" s="3"/>
      <c r="G36" s="3"/>
      <c r="H36" s="3"/>
      <c r="I36" s="42"/>
      <c r="J36" s="145"/>
      <c r="K36" s="136"/>
      <c r="L36" s="136"/>
      <c r="M36" s="136"/>
      <c r="N36" s="55"/>
    </row>
    <row r="37" spans="1:14" s="7" customFormat="1" x14ac:dyDescent="0.3">
      <c r="A37" s="55"/>
      <c r="B37" s="8"/>
      <c r="C37" s="8"/>
      <c r="D37" s="3"/>
      <c r="E37" s="33"/>
      <c r="F37" s="8" t="s">
        <v>284</v>
      </c>
      <c r="G37" s="8"/>
      <c r="H37" s="42" t="s">
        <v>230</v>
      </c>
      <c r="I37" s="42"/>
      <c r="J37" s="139" t="e">
        <f>'Avoided Operating Costs'!L100</f>
        <v>#DIV/0!</v>
      </c>
      <c r="K37" s="139">
        <f>'Avoided Operating Costs'!M100</f>
        <v>10.941338635959896</v>
      </c>
      <c r="L37" s="139">
        <f>'Avoided Operating Costs'!N100</f>
        <v>9.728445590040625</v>
      </c>
      <c r="M37" s="139">
        <f>'Avoided Operating Costs'!O100</f>
        <v>8.747863768952362</v>
      </c>
      <c r="N37" s="108"/>
    </row>
    <row r="38" spans="1:14" s="7" customFormat="1" x14ac:dyDescent="0.3">
      <c r="A38" s="55"/>
      <c r="B38" s="8"/>
      <c r="C38" s="8"/>
      <c r="D38" s="32"/>
      <c r="E38" s="26"/>
      <c r="F38" s="8" t="s">
        <v>285</v>
      </c>
      <c r="G38" s="8"/>
      <c r="H38" s="42" t="s">
        <v>230</v>
      </c>
      <c r="I38" s="41"/>
      <c r="J38" s="139" t="e">
        <f>'Avoided Operating Costs'!L101</f>
        <v>#DIV/0!</v>
      </c>
      <c r="K38" s="139">
        <f>'Avoided Operating Costs'!M101</f>
        <v>2.0369442925630636</v>
      </c>
      <c r="L38" s="139">
        <f>'Avoided Operating Costs'!N101</f>
        <v>1.8111405175793693</v>
      </c>
      <c r="M38" s="139">
        <f>'Avoided Operating Costs'!O101</f>
        <v>1.6285860230779203</v>
      </c>
      <c r="N38" s="108"/>
    </row>
    <row r="39" spans="1:14" s="7" customFormat="1" x14ac:dyDescent="0.3">
      <c r="A39" s="55"/>
      <c r="B39" s="8"/>
      <c r="C39" s="8"/>
      <c r="D39" s="32"/>
      <c r="E39" s="26"/>
      <c r="F39" s="8" t="s">
        <v>287</v>
      </c>
      <c r="G39" s="8"/>
      <c r="H39" s="42" t="s">
        <v>230</v>
      </c>
      <c r="I39" s="41"/>
      <c r="J39" s="139" t="e">
        <f>'Avoided Capital Maintenance'!J73</f>
        <v>#DIV/0!</v>
      </c>
      <c r="K39" s="139">
        <f>'Avoided Capital Maintenance'!K73</f>
        <v>10.935032023889807</v>
      </c>
      <c r="L39" s="139">
        <f>'Avoided Capital Maintenance'!L73</f>
        <v>9.7228380922359499</v>
      </c>
      <c r="M39" s="139">
        <f>'Avoided Capital Maintenance'!M73</f>
        <v>8.7428214807033289</v>
      </c>
      <c r="N39" s="108"/>
    </row>
    <row r="40" spans="1:14" s="7" customFormat="1" x14ac:dyDescent="0.3">
      <c r="A40" s="55"/>
      <c r="B40" s="8"/>
      <c r="C40" s="8"/>
      <c r="D40" s="3"/>
      <c r="E40" s="26"/>
      <c r="F40" s="3"/>
      <c r="G40" s="3"/>
      <c r="H40" s="3"/>
      <c r="I40" s="42"/>
      <c r="J40" s="145"/>
      <c r="K40" s="145"/>
      <c r="L40" s="146"/>
      <c r="M40" s="146"/>
      <c r="N40" s="108"/>
    </row>
    <row r="41" spans="1:14" x14ac:dyDescent="0.3">
      <c r="B41" s="15" t="s">
        <v>288</v>
      </c>
      <c r="C41" s="15"/>
      <c r="D41" s="15"/>
      <c r="E41" s="15"/>
      <c r="F41" s="15"/>
      <c r="G41" s="15"/>
      <c r="H41" s="15"/>
      <c r="I41" s="15"/>
      <c r="J41" s="144"/>
      <c r="K41" s="144"/>
      <c r="L41" s="144"/>
      <c r="M41" s="144"/>
      <c r="N41" s="91"/>
    </row>
    <row r="42" spans="1:14" x14ac:dyDescent="0.3">
      <c r="H42" s="3"/>
      <c r="I42" s="44"/>
      <c r="J42" s="145"/>
      <c r="K42" s="145"/>
      <c r="L42" s="145"/>
      <c r="M42" s="145"/>
      <c r="N42" s="3"/>
    </row>
    <row r="43" spans="1:14" x14ac:dyDescent="0.3">
      <c r="C43" s="3"/>
      <c r="D43" s="32" t="s">
        <v>289</v>
      </c>
      <c r="E43" s="3"/>
      <c r="F43" s="3"/>
      <c r="G43" s="3"/>
      <c r="H43" s="42"/>
      <c r="I43" s="8"/>
      <c r="J43" s="136"/>
      <c r="K43" s="136"/>
      <c r="L43" s="136"/>
      <c r="M43" s="136"/>
      <c r="N43" s="46"/>
    </row>
    <row r="44" spans="1:14" x14ac:dyDescent="0.3">
      <c r="C44" s="3"/>
      <c r="D44" s="26"/>
      <c r="F44" s="8" t="s">
        <v>228</v>
      </c>
      <c r="H44" s="42" t="s">
        <v>102</v>
      </c>
      <c r="I44" s="8"/>
      <c r="J44" s="53" t="e">
        <f>J21*(1-J16)</f>
        <v>#DIV/0!</v>
      </c>
      <c r="K44" s="53" t="e">
        <f>K21*(1-K16)</f>
        <v>#DIV/0!</v>
      </c>
      <c r="L44" s="53" t="e">
        <f>L21*(1-L16)</f>
        <v>#DIV/0!</v>
      </c>
      <c r="M44" s="53" t="e">
        <f>M21*(1-M16)</f>
        <v>#DIV/0!</v>
      </c>
      <c r="N44" s="46"/>
    </row>
    <row r="45" spans="1:14" x14ac:dyDescent="0.3">
      <c r="C45" s="3"/>
      <c r="D45" s="26"/>
      <c r="F45" s="8" t="s">
        <v>229</v>
      </c>
      <c r="H45" s="42" t="s">
        <v>230</v>
      </c>
      <c r="I45" s="8"/>
      <c r="J45" s="47" t="e">
        <f>J22-SUM(J25:J28)</f>
        <v>#DIV/0!</v>
      </c>
      <c r="K45" s="47">
        <f>K22-SUM(K25:K28)</f>
        <v>-47.603335860579364</v>
      </c>
      <c r="L45" s="47">
        <f>L22-SUM(L25:L28)</f>
        <v>-46.847464441771315</v>
      </c>
      <c r="M45" s="47">
        <f>M22-SUM(M25:M28)</f>
        <v>-44.103618601851494</v>
      </c>
      <c r="N45" s="46"/>
    </row>
    <row r="46" spans="1:14" x14ac:dyDescent="0.3">
      <c r="C46" s="3"/>
      <c r="D46" s="26"/>
      <c r="E46" s="8"/>
      <c r="G46" s="42"/>
      <c r="H46" s="42"/>
      <c r="I46" s="8"/>
      <c r="J46" s="136"/>
      <c r="K46" s="195"/>
      <c r="L46" s="195"/>
      <c r="M46" s="195"/>
      <c r="N46" s="46"/>
    </row>
    <row r="47" spans="1:14" x14ac:dyDescent="0.3">
      <c r="C47" s="3"/>
      <c r="D47" s="32" t="s">
        <v>290</v>
      </c>
      <c r="E47" s="3"/>
      <c r="F47" s="3"/>
      <c r="G47" s="3"/>
      <c r="H47" s="42"/>
      <c r="I47" s="8"/>
      <c r="J47" s="136"/>
      <c r="K47" s="136"/>
      <c r="L47" s="136"/>
      <c r="M47" s="136"/>
      <c r="N47" s="46"/>
    </row>
    <row r="48" spans="1:14" x14ac:dyDescent="0.3">
      <c r="C48" s="3"/>
      <c r="D48" s="26"/>
      <c r="F48" s="8" t="s">
        <v>228</v>
      </c>
      <c r="H48" s="42" t="s">
        <v>102</v>
      </c>
      <c r="I48" s="8"/>
      <c r="J48" s="53" t="e">
        <f>IF(J11="Yes",J33*(1-J16),J33)</f>
        <v>#DIV/0!</v>
      </c>
      <c r="K48" s="53" t="e">
        <f>K33*(1-K16)</f>
        <v>#DIV/0!</v>
      </c>
      <c r="L48" s="53" t="e">
        <f>L33*(1-L16)</f>
        <v>#DIV/0!</v>
      </c>
      <c r="M48" s="53" t="e">
        <f>M33*(1-M16)</f>
        <v>#DIV/0!</v>
      </c>
      <c r="N48" s="46"/>
    </row>
    <row r="49" spans="1:14" x14ac:dyDescent="0.3">
      <c r="C49" s="3"/>
      <c r="D49" s="26"/>
      <c r="F49" s="8" t="s">
        <v>229</v>
      </c>
      <c r="H49" s="42" t="s">
        <v>230</v>
      </c>
      <c r="I49" s="8"/>
      <c r="J49" s="47" t="e">
        <f>J34-SUM(J37:J39)</f>
        <v>#DIV/0!</v>
      </c>
      <c r="K49" s="47">
        <f>K34-SUM(K37:K39)</f>
        <v>-23.913314952412769</v>
      </c>
      <c r="L49" s="47">
        <f>L34-SUM(L37:L39)</f>
        <v>-21.262424199855943</v>
      </c>
      <c r="M49" s="47">
        <f>M34-SUM(M37:M39)</f>
        <v>-19.119271272733613</v>
      </c>
      <c r="N49" s="46"/>
    </row>
    <row r="50" spans="1:14" x14ac:dyDescent="0.3">
      <c r="C50" s="3"/>
      <c r="D50" s="26"/>
      <c r="E50" s="8"/>
      <c r="G50" s="42"/>
      <c r="H50" s="42"/>
      <c r="I50" s="8"/>
      <c r="J50" s="121"/>
      <c r="K50" s="121"/>
      <c r="L50" s="121"/>
      <c r="M50" s="121"/>
      <c r="N50" s="46"/>
    </row>
    <row r="51" spans="1:14" x14ac:dyDescent="0.3">
      <c r="D51" s="8"/>
      <c r="E51" s="8"/>
      <c r="I51" s="8"/>
      <c r="J51" s="8" t="e">
        <f>J33*(1-J16)</f>
        <v>#DIV/0!</v>
      </c>
      <c r="K51" s="8"/>
      <c r="L51" s="8"/>
      <c r="M51" s="8"/>
    </row>
    <row r="52" spans="1:14" customFormat="1" x14ac:dyDescent="0.3">
      <c r="A52" s="15"/>
      <c r="B52" s="15" t="s">
        <v>76</v>
      </c>
      <c r="C52" s="15"/>
      <c r="D52" s="15"/>
      <c r="E52" s="15"/>
      <c r="F52" s="15"/>
      <c r="G52" s="15"/>
      <c r="H52" s="15"/>
      <c r="I52" s="37"/>
      <c r="J52" s="144"/>
      <c r="K52" s="144"/>
      <c r="L52" s="144"/>
      <c r="M52" s="144"/>
      <c r="N52" s="144"/>
    </row>
  </sheetData>
  <sheetProtection algorithmName="SHA-512" hashValue="n5GB3/1cRbcunhQVhFhdL4ADNGx68VbFeR0NjGaiOi4TKKJJFvm6skvfjMwMhw/no1iqq15VZ8iUZFQcPDviww==" saltValue="peck5xr8uHWlCMGF1BdK6Q==" spinCount="100000" sheet="1" objects="1" scenarios="1" selectLockedCells="1" selectUnlockedCells="1"/>
  <mergeCells count="1">
    <mergeCell ref="F6:K9"/>
  </mergeCells>
  <hyperlinks>
    <hyperlink ref="A3" location="Intro!A1" display="Return to Intro tab" xr:uid="{7C5F8D04-A77E-4007-BD9C-711A8E403064}"/>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4A471-BA41-4958-9CCE-F36A209506BF}">
  <sheetPr>
    <tabColor rgb="FF6D65A0"/>
  </sheetPr>
  <dimension ref="A1:Q77"/>
  <sheetViews>
    <sheetView showGridLines="0" zoomScale="90" zoomScaleNormal="90" workbookViewId="0">
      <selection activeCell="A2" sqref="A2"/>
    </sheetView>
  </sheetViews>
  <sheetFormatPr defaultColWidth="0" defaultRowHeight="13" zeroHeight="1" outlineLevelRow="1" x14ac:dyDescent="0.3"/>
  <cols>
    <col min="1" max="3" width="2.453125" style="8" customWidth="1"/>
    <col min="4" max="4" width="2.453125" style="32" customWidth="1"/>
    <col min="5" max="5" width="30.453125" style="8" customWidth="1"/>
    <col min="6" max="6" width="2.54296875" style="8" customWidth="1"/>
    <col min="7" max="7" width="11.453125" style="8" bestFit="1" customWidth="1"/>
    <col min="8" max="8" width="2.54296875" style="41" customWidth="1"/>
    <col min="9" max="9" width="12.54296875" style="138" bestFit="1" customWidth="1"/>
    <col min="10" max="12" width="16.453125" style="138" bestFit="1" customWidth="1"/>
    <col min="13" max="13" width="14.453125" style="8" bestFit="1" customWidth="1"/>
    <col min="14" max="14" width="2.54296875" style="8" customWidth="1"/>
    <col min="15" max="15" width="9.54296875" style="8" hidden="1" customWidth="1"/>
    <col min="16" max="16" width="7.453125" hidden="1" customWidth="1"/>
    <col min="17" max="18" width="8.54296875" style="8" hidden="1" customWidth="1"/>
    <col min="19" max="16384" width="8.54296875" style="8" hidden="1"/>
  </cols>
  <sheetData>
    <row r="1" spans="1:17" s="13" customFormat="1" ht="17.5" x14ac:dyDescent="0.3">
      <c r="A1" s="11" t="str" cm="1">
        <f t="array" aca="1" ref="A1" ca="1">RIGHT(CELL("filename",A$2),LEN(CELL("filename",A$2))-FIND("]",CELL("filename",A$2)))</f>
        <v>Avoided Capital Maintenance</v>
      </c>
      <c r="B1" s="11"/>
      <c r="C1" s="11"/>
      <c r="D1" s="11"/>
      <c r="E1" s="11"/>
      <c r="F1" s="11"/>
      <c r="G1" s="11"/>
      <c r="H1" s="37"/>
      <c r="I1" s="140"/>
      <c r="J1" s="140"/>
      <c r="K1" s="140"/>
      <c r="L1" s="140"/>
    </row>
    <row r="2" spans="1:17" s="1" customFormat="1" x14ac:dyDescent="0.3">
      <c r="A2" s="14"/>
      <c r="B2" s="14"/>
      <c r="C2" s="14"/>
      <c r="D2" s="14"/>
      <c r="E2" s="14"/>
      <c r="F2" s="14"/>
      <c r="G2" s="14"/>
      <c r="H2" s="38"/>
      <c r="I2" s="141"/>
      <c r="J2" s="141"/>
      <c r="K2" s="141"/>
      <c r="L2" s="141"/>
      <c r="M2" s="14"/>
      <c r="N2" s="14"/>
      <c r="O2" s="14"/>
    </row>
    <row r="3" spans="1:17" customFormat="1" x14ac:dyDescent="0.3">
      <c r="A3" s="31" t="s">
        <v>176</v>
      </c>
      <c r="D3" s="3"/>
      <c r="H3" s="39"/>
      <c r="I3" s="142"/>
      <c r="J3" s="142"/>
      <c r="K3" s="142"/>
      <c r="L3" s="142"/>
    </row>
    <row r="4" spans="1:17" ht="13.5" customHeight="1" x14ac:dyDescent="0.3">
      <c r="E4" s="32"/>
      <c r="F4" s="32"/>
      <c r="G4" s="32"/>
      <c r="H4" s="40"/>
      <c r="I4" s="143"/>
    </row>
    <row r="5" spans="1:17" customFormat="1" x14ac:dyDescent="0.3">
      <c r="B5" s="15" t="s">
        <v>44</v>
      </c>
      <c r="C5" s="15"/>
      <c r="D5" s="15"/>
      <c r="E5" s="15"/>
      <c r="F5" s="15"/>
      <c r="G5" s="15"/>
      <c r="H5" s="37"/>
      <c r="I5" s="144"/>
      <c r="J5" s="144"/>
      <c r="K5" s="144"/>
      <c r="L5" s="144"/>
      <c r="M5" s="15"/>
      <c r="N5" s="15"/>
      <c r="O5" s="15"/>
      <c r="P5" s="15"/>
      <c r="Q5" s="15"/>
    </row>
    <row r="6" spans="1:17" ht="4.4000000000000004" customHeight="1" x14ac:dyDescent="0.3">
      <c r="E6" s="413" t="s">
        <v>68</v>
      </c>
      <c r="F6" s="413"/>
      <c r="G6" s="413"/>
      <c r="H6" s="413"/>
      <c r="I6" s="413"/>
      <c r="J6" s="413"/>
      <c r="P6" s="8"/>
    </row>
    <row r="7" spans="1:17" hidden="1" x14ac:dyDescent="0.3">
      <c r="D7" s="3"/>
      <c r="E7" s="413"/>
      <c r="F7" s="413"/>
      <c r="G7" s="413"/>
      <c r="H7" s="413"/>
      <c r="I7" s="413"/>
      <c r="J7" s="413"/>
      <c r="P7" s="8"/>
    </row>
    <row r="8" spans="1:17" x14ac:dyDescent="0.3">
      <c r="D8" s="3"/>
      <c r="E8" s="413"/>
      <c r="F8" s="413"/>
      <c r="G8" s="413"/>
      <c r="H8" s="413"/>
      <c r="I8" s="413"/>
      <c r="J8" s="413"/>
      <c r="P8" s="8"/>
    </row>
    <row r="9" spans="1:17" x14ac:dyDescent="0.3">
      <c r="D9" s="3"/>
      <c r="E9" s="413"/>
      <c r="F9" s="413"/>
      <c r="G9" s="413"/>
      <c r="H9" s="413"/>
      <c r="I9" s="413"/>
      <c r="J9" s="413"/>
      <c r="P9" s="8"/>
    </row>
    <row r="10" spans="1:17" x14ac:dyDescent="0.3">
      <c r="D10" s="3"/>
      <c r="I10" s="35" t="s">
        <v>291</v>
      </c>
      <c r="J10" s="161" t="s">
        <v>268</v>
      </c>
      <c r="K10" s="162" t="s">
        <v>216</v>
      </c>
      <c r="L10" s="162" t="s">
        <v>218</v>
      </c>
      <c r="M10" s="162" t="s">
        <v>219</v>
      </c>
      <c r="P10" s="8"/>
    </row>
    <row r="11" spans="1:17" x14ac:dyDescent="0.3">
      <c r="B11" s="15" t="s">
        <v>73</v>
      </c>
      <c r="C11" s="15"/>
      <c r="D11" s="15"/>
      <c r="E11" s="15"/>
      <c r="F11" s="15"/>
      <c r="G11" s="15"/>
      <c r="H11" s="15"/>
      <c r="I11" s="144"/>
      <c r="J11" s="144"/>
      <c r="K11" s="144"/>
      <c r="L11" s="144"/>
      <c r="M11" s="15"/>
      <c r="N11" s="15"/>
      <c r="O11" s="15"/>
      <c r="P11" s="15"/>
      <c r="Q11" s="15"/>
    </row>
    <row r="12" spans="1:17" outlineLevel="1" x14ac:dyDescent="0.3">
      <c r="G12" s="3"/>
      <c r="H12" s="44"/>
      <c r="I12" s="145"/>
      <c r="J12" s="145"/>
      <c r="K12" s="145"/>
      <c r="L12" s="145"/>
      <c r="M12" s="3"/>
      <c r="N12" s="3"/>
      <c r="O12" s="3"/>
    </row>
    <row r="13" spans="1:17" s="7" customFormat="1" outlineLevel="1" x14ac:dyDescent="0.3">
      <c r="A13" s="55"/>
      <c r="B13" s="8"/>
      <c r="C13" s="8"/>
      <c r="D13" s="3" t="s">
        <v>292</v>
      </c>
      <c r="E13" s="3"/>
      <c r="F13" s="3"/>
      <c r="G13" s="3"/>
      <c r="H13" s="42"/>
      <c r="I13" s="145"/>
      <c r="J13" s="145"/>
      <c r="K13" s="146"/>
      <c r="L13" s="146"/>
    </row>
    <row r="14" spans="1:17" s="7" customFormat="1" outlineLevel="1" x14ac:dyDescent="0.3">
      <c r="A14" s="55"/>
      <c r="B14" s="8"/>
      <c r="C14" s="8"/>
      <c r="D14" s="3"/>
      <c r="E14" s="7" t="s">
        <v>293</v>
      </c>
      <c r="F14" s="8"/>
      <c r="G14" s="42" t="s">
        <v>294</v>
      </c>
      <c r="H14" s="42"/>
      <c r="I14" s="59">
        <v>365.53923011580946</v>
      </c>
      <c r="J14" s="121">
        <f t="shared" ref="J14:M20" si="0">I14</f>
        <v>365.53923011580946</v>
      </c>
      <c r="K14" s="121">
        <f t="shared" si="0"/>
        <v>365.53923011580946</v>
      </c>
      <c r="L14" s="121">
        <f t="shared" si="0"/>
        <v>365.53923011580946</v>
      </c>
      <c r="M14" s="121">
        <f t="shared" si="0"/>
        <v>365.53923011580946</v>
      </c>
    </row>
    <row r="15" spans="1:17" s="7" customFormat="1" outlineLevel="1" x14ac:dyDescent="0.3">
      <c r="A15" s="55"/>
      <c r="B15" s="8"/>
      <c r="C15" s="8"/>
      <c r="D15" s="3"/>
      <c r="E15" s="7" t="s">
        <v>295</v>
      </c>
      <c r="F15" s="8"/>
      <c r="G15" s="42" t="s">
        <v>296</v>
      </c>
      <c r="H15" s="42"/>
      <c r="I15" s="59">
        <v>0.21542311083004181</v>
      </c>
      <c r="J15" s="121">
        <f t="shared" si="0"/>
        <v>0.21542311083004181</v>
      </c>
      <c r="K15" s="121">
        <f t="shared" si="0"/>
        <v>0.21542311083004181</v>
      </c>
      <c r="L15" s="121">
        <f t="shared" si="0"/>
        <v>0.21542311083004181</v>
      </c>
      <c r="M15" s="121">
        <f t="shared" si="0"/>
        <v>0.21542311083004181</v>
      </c>
    </row>
    <row r="16" spans="1:17" s="7" customFormat="1" outlineLevel="1" x14ac:dyDescent="0.3">
      <c r="A16" s="55"/>
      <c r="B16" s="8"/>
      <c r="C16" s="8"/>
      <c r="D16" s="3"/>
      <c r="E16" s="7" t="s">
        <v>297</v>
      </c>
      <c r="F16" s="8"/>
      <c r="G16" s="42" t="s">
        <v>296</v>
      </c>
      <c r="H16" s="42"/>
      <c r="I16" s="59">
        <v>0.14392852730498465</v>
      </c>
      <c r="J16" s="121">
        <f t="shared" si="0"/>
        <v>0.14392852730498465</v>
      </c>
      <c r="K16" s="121">
        <f t="shared" si="0"/>
        <v>0.14392852730498465</v>
      </c>
      <c r="L16" s="121">
        <f t="shared" si="0"/>
        <v>0.14392852730498465</v>
      </c>
      <c r="M16" s="121">
        <f t="shared" si="0"/>
        <v>0.14392852730498465</v>
      </c>
    </row>
    <row r="17" spans="1:13" s="7" customFormat="1" outlineLevel="1" x14ac:dyDescent="0.3">
      <c r="A17" s="55"/>
      <c r="B17" s="8"/>
      <c r="C17" s="8"/>
      <c r="D17" s="3"/>
      <c r="E17" s="7" t="s">
        <v>298</v>
      </c>
      <c r="F17" s="8"/>
      <c r="G17" s="42" t="s">
        <v>296</v>
      </c>
      <c r="H17" s="42"/>
      <c r="I17" s="59">
        <v>0.17975766190336318</v>
      </c>
      <c r="J17" s="121">
        <f t="shared" si="0"/>
        <v>0.17975766190336318</v>
      </c>
      <c r="K17" s="121">
        <f t="shared" si="0"/>
        <v>0.17975766190336318</v>
      </c>
      <c r="L17" s="121">
        <f t="shared" si="0"/>
        <v>0.17975766190336318</v>
      </c>
      <c r="M17" s="121">
        <f t="shared" si="0"/>
        <v>0.17975766190336318</v>
      </c>
    </row>
    <row r="18" spans="1:13" s="7" customFormat="1" outlineLevel="1" x14ac:dyDescent="0.3">
      <c r="A18" s="55"/>
      <c r="B18" s="8"/>
      <c r="C18" s="8"/>
      <c r="D18" s="3"/>
      <c r="E18" s="7" t="s">
        <v>299</v>
      </c>
      <c r="F18" s="8"/>
      <c r="G18" s="42" t="s">
        <v>296</v>
      </c>
      <c r="H18" s="42"/>
      <c r="I18" s="59">
        <v>7.9330410512012103E-2</v>
      </c>
      <c r="J18" s="121">
        <f t="shared" si="0"/>
        <v>7.9330410512012103E-2</v>
      </c>
      <c r="K18" s="121">
        <f t="shared" si="0"/>
        <v>7.9330410512012103E-2</v>
      </c>
      <c r="L18" s="121">
        <f t="shared" si="0"/>
        <v>7.9330410512012103E-2</v>
      </c>
      <c r="M18" s="121">
        <f t="shared" si="0"/>
        <v>7.9330410512012103E-2</v>
      </c>
    </row>
    <row r="19" spans="1:13" s="7" customFormat="1" outlineLevel="1" x14ac:dyDescent="0.3">
      <c r="A19" s="55"/>
      <c r="B19" s="8"/>
      <c r="C19" s="8"/>
      <c r="D19" s="3"/>
      <c r="E19" s="7" t="s">
        <v>300</v>
      </c>
      <c r="F19" s="8"/>
      <c r="G19" s="42" t="s">
        <v>296</v>
      </c>
      <c r="H19" s="42"/>
      <c r="I19" s="59">
        <v>0.4063277166415859</v>
      </c>
      <c r="J19" s="121">
        <f t="shared" si="0"/>
        <v>0.4063277166415859</v>
      </c>
      <c r="K19" s="121">
        <f t="shared" si="0"/>
        <v>0.4063277166415859</v>
      </c>
      <c r="L19" s="121">
        <f t="shared" si="0"/>
        <v>0.4063277166415859</v>
      </c>
      <c r="M19" s="121">
        <f t="shared" si="0"/>
        <v>0.4063277166415859</v>
      </c>
    </row>
    <row r="20" spans="1:13" s="7" customFormat="1" outlineLevel="1" x14ac:dyDescent="0.3">
      <c r="A20" s="55"/>
      <c r="B20" s="8"/>
      <c r="C20" s="8"/>
      <c r="D20" s="3"/>
      <c r="E20" s="7" t="s">
        <v>301</v>
      </c>
      <c r="F20" s="8"/>
      <c r="G20" s="42" t="s">
        <v>296</v>
      </c>
      <c r="H20" s="42"/>
      <c r="I20" s="187">
        <v>0.64645448956501983</v>
      </c>
      <c r="J20" s="121">
        <f t="shared" si="0"/>
        <v>0.64645448956501983</v>
      </c>
      <c r="K20" s="121">
        <f t="shared" si="0"/>
        <v>0.64645448956501983</v>
      </c>
      <c r="L20" s="121">
        <f t="shared" si="0"/>
        <v>0.64645448956501983</v>
      </c>
      <c r="M20" s="121">
        <f t="shared" si="0"/>
        <v>0.64645448956501983</v>
      </c>
    </row>
    <row r="21" spans="1:13" s="7" customFormat="1" outlineLevel="1" x14ac:dyDescent="0.3">
      <c r="A21" s="55"/>
      <c r="B21" s="8"/>
      <c r="C21" s="8"/>
      <c r="D21" s="3"/>
      <c r="E21" s="8"/>
      <c r="F21" s="8"/>
      <c r="G21" s="42"/>
      <c r="H21" s="42"/>
      <c r="I21" s="165"/>
      <c r="J21" s="145"/>
      <c r="K21" s="146"/>
      <c r="L21" s="146"/>
    </row>
    <row r="22" spans="1:13" s="7" customFormat="1" outlineLevel="1" x14ac:dyDescent="0.3">
      <c r="A22" s="55"/>
      <c r="B22" s="8"/>
      <c r="C22" s="8"/>
      <c r="D22" s="3" t="s">
        <v>302</v>
      </c>
      <c r="E22" s="3"/>
      <c r="F22" s="3"/>
      <c r="G22" s="3"/>
      <c r="H22" s="42"/>
      <c r="I22" s="145"/>
      <c r="J22" s="145"/>
      <c r="K22" s="146"/>
      <c r="L22" s="146"/>
    </row>
    <row r="23" spans="1:13" s="7" customFormat="1" outlineLevel="1" x14ac:dyDescent="0.3">
      <c r="A23" s="55"/>
      <c r="B23" s="8"/>
      <c r="C23" s="8"/>
      <c r="D23" s="3"/>
      <c r="E23" s="7" t="s">
        <v>293</v>
      </c>
      <c r="F23" s="8"/>
      <c r="G23" s="42" t="s">
        <v>303</v>
      </c>
      <c r="H23" s="42"/>
      <c r="I23" s="188">
        <v>15</v>
      </c>
      <c r="J23" s="121">
        <f t="shared" ref="J23:M29" si="1">I23</f>
        <v>15</v>
      </c>
      <c r="K23" s="121">
        <f t="shared" si="1"/>
        <v>15</v>
      </c>
      <c r="L23" s="121">
        <f t="shared" si="1"/>
        <v>15</v>
      </c>
      <c r="M23" s="121">
        <f t="shared" si="1"/>
        <v>15</v>
      </c>
    </row>
    <row r="24" spans="1:13" s="7" customFormat="1" outlineLevel="1" x14ac:dyDescent="0.3">
      <c r="A24" s="55"/>
      <c r="B24" s="8"/>
      <c r="C24" s="8"/>
      <c r="D24" s="3"/>
      <c r="E24" s="7" t="s">
        <v>295</v>
      </c>
      <c r="F24" s="8"/>
      <c r="G24" s="42" t="s">
        <v>303</v>
      </c>
      <c r="H24" s="42"/>
      <c r="I24" s="188">
        <v>70</v>
      </c>
      <c r="J24" s="121">
        <f t="shared" si="1"/>
        <v>70</v>
      </c>
      <c r="K24" s="121">
        <f t="shared" si="1"/>
        <v>70</v>
      </c>
      <c r="L24" s="121">
        <f t="shared" si="1"/>
        <v>70</v>
      </c>
      <c r="M24" s="121">
        <f t="shared" si="1"/>
        <v>70</v>
      </c>
    </row>
    <row r="25" spans="1:13" s="7" customFormat="1" outlineLevel="1" x14ac:dyDescent="0.3">
      <c r="A25" s="55"/>
      <c r="B25" s="8"/>
      <c r="C25" s="8"/>
      <c r="D25" s="3"/>
      <c r="E25" s="7" t="s">
        <v>297</v>
      </c>
      <c r="F25" s="8"/>
      <c r="G25" s="42" t="s">
        <v>303</v>
      </c>
      <c r="H25" s="42"/>
      <c r="I25" s="188">
        <v>25</v>
      </c>
      <c r="J25" s="121">
        <f t="shared" si="1"/>
        <v>25</v>
      </c>
      <c r="K25" s="121">
        <f t="shared" si="1"/>
        <v>25</v>
      </c>
      <c r="L25" s="121">
        <f t="shared" si="1"/>
        <v>25</v>
      </c>
      <c r="M25" s="121">
        <f t="shared" si="1"/>
        <v>25</v>
      </c>
    </row>
    <row r="26" spans="1:13" s="7" customFormat="1" outlineLevel="1" x14ac:dyDescent="0.3">
      <c r="A26" s="55"/>
      <c r="B26" s="8"/>
      <c r="C26" s="8"/>
      <c r="D26" s="3"/>
      <c r="E26" s="7" t="s">
        <v>298</v>
      </c>
      <c r="F26" s="8"/>
      <c r="G26" s="42" t="s">
        <v>303</v>
      </c>
      <c r="H26" s="42"/>
      <c r="I26" s="188">
        <v>70</v>
      </c>
      <c r="J26" s="121">
        <f t="shared" si="1"/>
        <v>70</v>
      </c>
      <c r="K26" s="121">
        <f t="shared" si="1"/>
        <v>70</v>
      </c>
      <c r="L26" s="121">
        <f t="shared" si="1"/>
        <v>70</v>
      </c>
      <c r="M26" s="121">
        <f t="shared" si="1"/>
        <v>70</v>
      </c>
    </row>
    <row r="27" spans="1:13" s="7" customFormat="1" outlineLevel="1" x14ac:dyDescent="0.3">
      <c r="A27" s="55"/>
      <c r="B27" s="8"/>
      <c r="C27" s="8"/>
      <c r="D27" s="3"/>
      <c r="E27" s="7" t="s">
        <v>299</v>
      </c>
      <c r="F27" s="8"/>
      <c r="G27" s="42" t="s">
        <v>303</v>
      </c>
      <c r="H27" s="42"/>
      <c r="I27" s="188">
        <v>25</v>
      </c>
      <c r="J27" s="121">
        <f t="shared" si="1"/>
        <v>25</v>
      </c>
      <c r="K27" s="121">
        <f t="shared" si="1"/>
        <v>25</v>
      </c>
      <c r="L27" s="121">
        <f t="shared" si="1"/>
        <v>25</v>
      </c>
      <c r="M27" s="121">
        <f t="shared" si="1"/>
        <v>25</v>
      </c>
    </row>
    <row r="28" spans="1:13" s="7" customFormat="1" outlineLevel="1" x14ac:dyDescent="0.3">
      <c r="A28" s="55"/>
      <c r="B28" s="8"/>
      <c r="C28" s="8"/>
      <c r="D28" s="3"/>
      <c r="E28" s="7" t="s">
        <v>300</v>
      </c>
      <c r="F28" s="8"/>
      <c r="G28" s="42" t="s">
        <v>303</v>
      </c>
      <c r="H28" s="42"/>
      <c r="I28" s="188">
        <v>25</v>
      </c>
      <c r="J28" s="121">
        <f t="shared" si="1"/>
        <v>25</v>
      </c>
      <c r="K28" s="121">
        <f t="shared" si="1"/>
        <v>25</v>
      </c>
      <c r="L28" s="121">
        <f t="shared" si="1"/>
        <v>25</v>
      </c>
      <c r="M28" s="121">
        <f t="shared" si="1"/>
        <v>25</v>
      </c>
    </row>
    <row r="29" spans="1:13" s="7" customFormat="1" outlineLevel="1" x14ac:dyDescent="0.3">
      <c r="A29" s="55"/>
      <c r="B29" s="8"/>
      <c r="C29" s="8"/>
      <c r="D29" s="3"/>
      <c r="E29" s="7" t="s">
        <v>301</v>
      </c>
      <c r="F29" s="8"/>
      <c r="G29" s="42" t="s">
        <v>303</v>
      </c>
      <c r="H29" s="42"/>
      <c r="I29" s="188">
        <v>100</v>
      </c>
      <c r="J29" s="121">
        <f t="shared" si="1"/>
        <v>100</v>
      </c>
      <c r="K29" s="121">
        <f t="shared" si="1"/>
        <v>100</v>
      </c>
      <c r="L29" s="121">
        <f t="shared" si="1"/>
        <v>100</v>
      </c>
      <c r="M29" s="121">
        <f t="shared" si="1"/>
        <v>100</v>
      </c>
    </row>
    <row r="30" spans="1:13" s="164" customFormat="1" outlineLevel="1" x14ac:dyDescent="0.3">
      <c r="A30" s="83"/>
      <c r="B30" s="115"/>
      <c r="C30" s="115"/>
      <c r="D30" s="3"/>
      <c r="E30" s="115"/>
      <c r="F30" s="115"/>
      <c r="G30" s="116"/>
      <c r="H30" s="116"/>
      <c r="I30" s="165"/>
      <c r="J30" s="145"/>
      <c r="K30" s="186"/>
      <c r="L30" s="186"/>
    </row>
    <row r="31" spans="1:13" s="7" customFormat="1" outlineLevel="1" x14ac:dyDescent="0.3">
      <c r="A31" s="55"/>
      <c r="B31" s="8"/>
      <c r="C31" s="8"/>
      <c r="D31" s="3" t="s">
        <v>197</v>
      </c>
      <c r="F31" s="8"/>
      <c r="G31" s="42" t="s">
        <v>198</v>
      </c>
      <c r="H31" s="42"/>
      <c r="I31" s="268">
        <f>Cockpit!$I$37</f>
        <v>4.0298627350000005E-2</v>
      </c>
      <c r="J31" s="190"/>
      <c r="K31" s="190"/>
      <c r="L31" s="190"/>
      <c r="M31" s="191"/>
    </row>
    <row r="32" spans="1:13" s="7" customFormat="1" outlineLevel="1" x14ac:dyDescent="0.3">
      <c r="A32" s="55"/>
      <c r="B32" s="8"/>
      <c r="C32" s="8"/>
      <c r="D32" s="3"/>
      <c r="E32" s="3"/>
      <c r="F32" s="3"/>
      <c r="G32" s="3"/>
      <c r="H32" s="42"/>
      <c r="I32" s="145"/>
      <c r="J32" s="145"/>
      <c r="K32" s="146"/>
      <c r="L32" s="146"/>
    </row>
    <row r="33" spans="1:17" outlineLevel="1" x14ac:dyDescent="0.3">
      <c r="C33" s="3"/>
      <c r="D33" s="32" t="s">
        <v>304</v>
      </c>
      <c r="E33" s="3"/>
      <c r="F33" s="3"/>
      <c r="G33" s="42"/>
      <c r="H33" s="8"/>
      <c r="J33" s="136"/>
      <c r="K33" s="136"/>
      <c r="L33" s="136"/>
      <c r="M33" s="136"/>
      <c r="N33" s="46"/>
    </row>
    <row r="34" spans="1:17" outlineLevel="1" x14ac:dyDescent="0.3">
      <c r="C34" s="3"/>
      <c r="D34" s="26"/>
      <c r="E34" s="8" t="s">
        <v>223</v>
      </c>
      <c r="F34" s="42" t="s">
        <v>208</v>
      </c>
      <c r="G34" s="42"/>
      <c r="H34" s="8"/>
      <c r="J34" s="139" t="e">
        <f>'Avoided Operating Costs'!L69</f>
        <v>#DIV/0!</v>
      </c>
      <c r="K34" s="139">
        <f>'Avoided Operating Costs'!M69</f>
        <v>9.6733279408078303</v>
      </c>
      <c r="L34" s="139">
        <f>'Avoided Operating Costs'!N69</f>
        <v>9.4060688006793178</v>
      </c>
      <c r="M34" s="139">
        <f>'Avoided Operating Costs'!O69</f>
        <v>8.4359065990464579</v>
      </c>
      <c r="N34" s="46"/>
    </row>
    <row r="35" spans="1:17" outlineLevel="1" x14ac:dyDescent="0.3">
      <c r="C35" s="3"/>
      <c r="D35" s="26"/>
      <c r="E35" s="8" t="s">
        <v>305</v>
      </c>
      <c r="F35" s="42" t="s">
        <v>208</v>
      </c>
      <c r="G35" s="42"/>
      <c r="H35" s="8"/>
      <c r="J35" s="139" t="e">
        <f>'Avoided Operating Costs'!L70</f>
        <v>#DIV/0!</v>
      </c>
      <c r="K35" s="139">
        <f>'Avoided Operating Costs'!M70</f>
        <v>10.302273192156534</v>
      </c>
      <c r="L35" s="139">
        <f>'Avoided Operating Costs'!N70</f>
        <v>9.160223217498114</v>
      </c>
      <c r="M35" s="139">
        <f>'Avoided Operating Costs'!O70</f>
        <v>8.2369155543103929</v>
      </c>
      <c r="N35" s="46"/>
    </row>
    <row r="36" spans="1:17" s="115" customFormat="1" x14ac:dyDescent="0.3">
      <c r="C36" s="3"/>
      <c r="D36" s="114"/>
      <c r="F36" s="116"/>
      <c r="G36" s="116"/>
      <c r="J36" s="154"/>
      <c r="K36" s="154"/>
      <c r="L36" s="154"/>
      <c r="M36" s="154"/>
      <c r="N36" s="119"/>
      <c r="P36" s="155"/>
    </row>
    <row r="37" spans="1:17" x14ac:dyDescent="0.3">
      <c r="B37" s="15" t="s">
        <v>306</v>
      </c>
      <c r="C37" s="15"/>
      <c r="D37" s="15"/>
      <c r="E37" s="15"/>
      <c r="F37" s="15"/>
      <c r="G37" s="15"/>
      <c r="H37" s="15"/>
      <c r="I37" s="144"/>
      <c r="J37" s="144"/>
      <c r="K37" s="144"/>
      <c r="L37" s="144"/>
      <c r="M37" s="15"/>
      <c r="N37" s="15"/>
      <c r="O37" s="15"/>
      <c r="P37" s="15"/>
      <c r="Q37" s="15"/>
    </row>
    <row r="38" spans="1:17" x14ac:dyDescent="0.3">
      <c r="G38" s="3"/>
      <c r="H38" s="44"/>
      <c r="I38" s="145"/>
      <c r="J38" s="145"/>
      <c r="K38" s="145"/>
      <c r="L38" s="145"/>
      <c r="M38" s="3"/>
      <c r="N38" s="3"/>
      <c r="O38" s="3"/>
    </row>
    <row r="39" spans="1:17" s="7" customFormat="1" x14ac:dyDescent="0.3">
      <c r="A39" s="55"/>
      <c r="B39" s="8"/>
      <c r="C39" s="8"/>
      <c r="D39" s="3" t="s">
        <v>307</v>
      </c>
      <c r="E39" s="3"/>
      <c r="F39" s="3"/>
      <c r="G39" s="3"/>
      <c r="H39" s="42"/>
      <c r="J39" s="145"/>
      <c r="K39" s="145"/>
      <c r="L39" s="146"/>
      <c r="M39" s="146"/>
    </row>
    <row r="40" spans="1:17" x14ac:dyDescent="0.3">
      <c r="C40" s="3"/>
      <c r="D40" s="26"/>
      <c r="E40" s="8" t="s">
        <v>308</v>
      </c>
      <c r="F40" s="42"/>
      <c r="G40" s="42" t="s">
        <v>309</v>
      </c>
      <c r="H40" s="8"/>
      <c r="I40" s="192"/>
      <c r="J40" s="163">
        <v>2513.1844155844155</v>
      </c>
      <c r="K40" s="121">
        <f t="shared" ref="K40:M41" si="2">J40</f>
        <v>2513.1844155844155</v>
      </c>
      <c r="L40" s="121">
        <f t="shared" si="2"/>
        <v>2513.1844155844155</v>
      </c>
      <c r="M40" s="121">
        <f t="shared" si="2"/>
        <v>2513.1844155844155</v>
      </c>
      <c r="N40" s="46"/>
    </row>
    <row r="41" spans="1:17" x14ac:dyDescent="0.3">
      <c r="C41" s="3"/>
      <c r="D41" s="26"/>
      <c r="E41" s="8" t="s">
        <v>301</v>
      </c>
      <c r="F41" s="42"/>
      <c r="G41" s="42" t="s">
        <v>309</v>
      </c>
      <c r="H41" s="8"/>
      <c r="I41" s="192"/>
      <c r="J41" s="163">
        <v>1601.5689655172416</v>
      </c>
      <c r="K41" s="121">
        <f t="shared" si="2"/>
        <v>1601.5689655172416</v>
      </c>
      <c r="L41" s="121">
        <f t="shared" si="2"/>
        <v>1601.5689655172416</v>
      </c>
      <c r="M41" s="121">
        <f t="shared" si="2"/>
        <v>1601.5689655172416</v>
      </c>
      <c r="N41" s="46"/>
    </row>
    <row r="42" spans="1:17" s="115" customFormat="1" x14ac:dyDescent="0.3">
      <c r="C42" s="3"/>
      <c r="D42" s="114"/>
      <c r="F42" s="116"/>
      <c r="G42" s="116"/>
      <c r="J42" s="154"/>
      <c r="K42" s="154"/>
      <c r="L42" s="154"/>
      <c r="M42" s="154"/>
      <c r="N42" s="119"/>
      <c r="P42" s="155"/>
    </row>
    <row r="43" spans="1:17" s="7" customFormat="1" x14ac:dyDescent="0.3">
      <c r="A43" s="55"/>
      <c r="B43" s="8"/>
      <c r="C43" s="8"/>
      <c r="D43" s="3" t="s">
        <v>310</v>
      </c>
      <c r="E43" s="3"/>
      <c r="F43" s="3"/>
      <c r="G43" s="3"/>
      <c r="H43" s="42"/>
      <c r="J43" s="145"/>
      <c r="K43" s="145"/>
      <c r="L43" s="146"/>
      <c r="M43" s="146"/>
    </row>
    <row r="44" spans="1:17" s="7" customFormat="1" x14ac:dyDescent="0.3">
      <c r="A44" s="55"/>
      <c r="B44" s="8"/>
      <c r="C44" s="8"/>
      <c r="D44" s="3"/>
      <c r="E44" s="7" t="s">
        <v>293</v>
      </c>
      <c r="F44" s="8"/>
      <c r="G44" s="42" t="s">
        <v>230</v>
      </c>
      <c r="H44" s="42"/>
      <c r="I44" s="191"/>
      <c r="J44" s="35" t="e">
        <f>IF(SUM(J34:J35)=0,0,'Avoided Capital Maintenance'!J14)</f>
        <v>#DIV/0!</v>
      </c>
      <c r="K44" s="35">
        <f>'Avoided Capital Maintenance'!K14</f>
        <v>365.53923011580946</v>
      </c>
      <c r="L44" s="35">
        <f>'Avoided Capital Maintenance'!L14</f>
        <v>365.53923011580946</v>
      </c>
      <c r="M44" s="35">
        <f>'Avoided Capital Maintenance'!M14</f>
        <v>365.53923011580946</v>
      </c>
    </row>
    <row r="45" spans="1:17" s="7" customFormat="1" x14ac:dyDescent="0.3">
      <c r="A45" s="55"/>
      <c r="B45" s="8"/>
      <c r="C45" s="8"/>
      <c r="D45" s="3"/>
      <c r="E45" s="7" t="s">
        <v>295</v>
      </c>
      <c r="F45" s="8"/>
      <c r="G45" s="42" t="s">
        <v>230</v>
      </c>
      <c r="H45" s="42"/>
      <c r="I45" s="191"/>
      <c r="J45" s="35" t="e">
        <f>'Avoided Capital Maintenance'!J15*J$34*'Avoided Capital Maintenance'!J24</f>
        <v>#DIV/0!</v>
      </c>
      <c r="K45" s="35">
        <f>'Avoided Capital Maintenance'!K15*K$34*'Avoided Capital Maintenance'!K24</f>
        <v>145.87008779615897</v>
      </c>
      <c r="L45" s="35">
        <f>'Avoided Capital Maintenance'!L15*L$34*'Avoided Capital Maintenance'!L24</f>
        <v>141.83992212066175</v>
      </c>
      <c r="M45" s="35">
        <f>'Avoided Capital Maintenance'!M15*M$34*'Avoided Capital Maintenance'!M24</f>
        <v>127.21024695667865</v>
      </c>
    </row>
    <row r="46" spans="1:17" s="7" customFormat="1" x14ac:dyDescent="0.3">
      <c r="A46" s="55"/>
      <c r="B46" s="8"/>
      <c r="C46" s="8"/>
      <c r="D46" s="3"/>
      <c r="E46" s="7" t="s">
        <v>297</v>
      </c>
      <c r="F46" s="8"/>
      <c r="G46" s="42" t="s">
        <v>230</v>
      </c>
      <c r="H46" s="42"/>
      <c r="I46" s="191"/>
      <c r="J46" s="35" t="e">
        <f>'Avoided Capital Maintenance'!J16*J$34*'Avoided Capital Maintenance'!J25</f>
        <v>#DIV/0!</v>
      </c>
      <c r="K46" s="35">
        <f>'Avoided Capital Maintenance'!K16*K$34*'Avoided Capital Maintenance'!K25</f>
        <v>34.806696116465766</v>
      </c>
      <c r="L46" s="35">
        <f>'Avoided Capital Maintenance'!L16*L$34*'Avoided Capital Maintenance'!L25</f>
        <v>33.845040755278433</v>
      </c>
      <c r="M46" s="35">
        <f>'Avoided Capital Maintenance'!M16*M$34*'Avoided Capital Maintenance'!M25</f>
        <v>30.354190332078957</v>
      </c>
    </row>
    <row r="47" spans="1:17" s="7" customFormat="1" x14ac:dyDescent="0.3">
      <c r="A47" s="55"/>
      <c r="B47" s="8"/>
      <c r="C47" s="8"/>
      <c r="D47" s="3"/>
      <c r="E47" s="7" t="s">
        <v>298</v>
      </c>
      <c r="F47" s="8"/>
      <c r="G47" s="42" t="s">
        <v>230</v>
      </c>
      <c r="H47" s="42"/>
      <c r="I47" s="191"/>
      <c r="J47" s="35" t="e">
        <f>'Avoided Capital Maintenance'!J40*(J17*J$34)</f>
        <v>#DIV/0!</v>
      </c>
      <c r="K47" s="35">
        <f>'Avoided Capital Maintenance'!K40*(K17*K$34)</f>
        <v>4370.0628181618977</v>
      </c>
      <c r="L47" s="35">
        <f>'Avoided Capital Maintenance'!L40*(L17*L$34)</f>
        <v>4249.3247186953768</v>
      </c>
      <c r="M47" s="35">
        <f>'Avoided Capital Maintenance'!M40*(M17*M$34)</f>
        <v>3811.0402119687506</v>
      </c>
    </row>
    <row r="48" spans="1:17" s="7" customFormat="1" x14ac:dyDescent="0.3">
      <c r="A48" s="55"/>
      <c r="B48" s="8"/>
      <c r="C48" s="8"/>
      <c r="D48" s="3"/>
      <c r="E48" s="7" t="s">
        <v>299</v>
      </c>
      <c r="F48" s="8"/>
      <c r="G48" s="42" t="s">
        <v>230</v>
      </c>
      <c r="H48" s="42"/>
      <c r="I48" s="191"/>
      <c r="J48" s="35" t="e">
        <f>'Avoided Capital Maintenance'!J18*J$34*'Avoided Capital Maintenance'!J27</f>
        <v>#DIV/0!</v>
      </c>
      <c r="K48" s="35">
        <f>'Avoided Capital Maintenance'!K18*K$34*'Avoided Capital Maintenance'!K27</f>
        <v>19.184726914040048</v>
      </c>
      <c r="L48" s="35">
        <f>'Avoided Capital Maintenance'!L18*L$34*'Avoided Capital Maintenance'!L27</f>
        <v>18.654682481552992</v>
      </c>
      <c r="M48" s="35">
        <f>'Avoided Capital Maintenance'!M18*M$34*'Avoided Capital Maintenance'!M27</f>
        <v>16.730598338583686</v>
      </c>
    </row>
    <row r="49" spans="1:17" s="7" customFormat="1" x14ac:dyDescent="0.3">
      <c r="A49" s="55"/>
      <c r="B49" s="8"/>
      <c r="C49" s="8"/>
      <c r="D49" s="3"/>
      <c r="E49" s="7" t="s">
        <v>300</v>
      </c>
      <c r="F49" s="8"/>
      <c r="G49" s="42" t="s">
        <v>230</v>
      </c>
      <c r="H49" s="42"/>
      <c r="I49" s="191"/>
      <c r="J49" s="35" t="e">
        <f>'Avoided Capital Maintenance'!J28*(J19*J$35)</f>
        <v>#DIV/0!</v>
      </c>
      <c r="K49" s="35">
        <f>'Avoided Capital Maintenance'!K28*(K19*K$35)</f>
        <v>104.65247855966966</v>
      </c>
      <c r="L49" s="35">
        <f>'Avoided Capital Maintenance'!L28*(L19*L$35)</f>
        <v>93.051314597331242</v>
      </c>
      <c r="M49" s="35">
        <f>'Avoided Capital Maintenance'!M28*(M19*M$35)</f>
        <v>83.672177233812619</v>
      </c>
    </row>
    <row r="50" spans="1:17" s="7" customFormat="1" x14ac:dyDescent="0.3">
      <c r="A50" s="55"/>
      <c r="B50" s="8"/>
      <c r="C50" s="8"/>
      <c r="D50" s="3"/>
      <c r="E50" s="7" t="s">
        <v>301</v>
      </c>
      <c r="F50" s="8"/>
      <c r="G50" s="42" t="s">
        <v>230</v>
      </c>
      <c r="H50" s="42"/>
      <c r="I50" s="191"/>
      <c r="J50" s="35" t="e">
        <f>'Avoided Capital Maintenance'!J41*(J20*J$35)</f>
        <v>#DIV/0!</v>
      </c>
      <c r="K50" s="35">
        <f>'Avoided Capital Maintenance'!K41*(K20*K$35)</f>
        <v>10666.370445557412</v>
      </c>
      <c r="L50" s="35">
        <f>'Avoided Capital Maintenance'!L41*(L20*L$35)</f>
        <v>9483.9587709844272</v>
      </c>
      <c r="M50" s="35">
        <f>'Avoided Capital Maintenance'!M41*(M20*M$35)</f>
        <v>8528.0200779317074</v>
      </c>
    </row>
    <row r="51" spans="1:17" s="7" customFormat="1" x14ac:dyDescent="0.3">
      <c r="A51" s="55"/>
      <c r="B51" s="8"/>
      <c r="C51" s="8"/>
      <c r="D51" s="3"/>
      <c r="E51" s="8"/>
      <c r="F51" s="8"/>
      <c r="G51" s="42"/>
      <c r="H51" s="42"/>
      <c r="I51" s="145"/>
      <c r="J51" s="145"/>
      <c r="K51" s="145"/>
      <c r="L51" s="146"/>
      <c r="M51" s="146"/>
    </row>
    <row r="52" spans="1:17" s="7" customFormat="1" x14ac:dyDescent="0.3">
      <c r="A52" s="55"/>
      <c r="B52" s="8"/>
      <c r="C52" s="8"/>
      <c r="D52" s="3" t="s">
        <v>311</v>
      </c>
      <c r="E52" s="3"/>
      <c r="F52" s="3"/>
      <c r="G52" s="3"/>
      <c r="H52" s="42"/>
      <c r="J52" s="145"/>
      <c r="K52" s="145"/>
      <c r="L52" s="146"/>
      <c r="M52" s="146"/>
    </row>
    <row r="53" spans="1:17" s="7" customFormat="1" x14ac:dyDescent="0.3">
      <c r="A53" s="55"/>
      <c r="B53" s="8"/>
      <c r="C53" s="8"/>
      <c r="D53" s="3"/>
      <c r="E53" s="7" t="s">
        <v>293</v>
      </c>
      <c r="F53" s="8"/>
      <c r="G53" s="42" t="s">
        <v>312</v>
      </c>
      <c r="H53" s="42"/>
      <c r="I53" s="191"/>
      <c r="J53" s="35">
        <f>-1*FV($I$31,'Avoided Capital Maintenance'!J23,1)</f>
        <v>20.068078210515587</v>
      </c>
      <c r="K53" s="35">
        <f>-1*FV($I$31,'Avoided Capital Maintenance'!K23,1)</f>
        <v>20.068078210515587</v>
      </c>
      <c r="L53" s="35">
        <f>-1*FV($I$31,'Avoided Capital Maintenance'!L23,1)</f>
        <v>20.068078210515587</v>
      </c>
      <c r="M53" s="35">
        <f>-1*FV($I$31,'Avoided Capital Maintenance'!M23,1)</f>
        <v>20.068078210515587</v>
      </c>
    </row>
    <row r="54" spans="1:17" s="7" customFormat="1" x14ac:dyDescent="0.3">
      <c r="A54" s="55"/>
      <c r="B54" s="8"/>
      <c r="C54" s="8"/>
      <c r="D54" s="3"/>
      <c r="E54" s="7" t="s">
        <v>295</v>
      </c>
      <c r="F54" s="8"/>
      <c r="G54" s="42" t="s">
        <v>312</v>
      </c>
      <c r="H54" s="42"/>
      <c r="I54" s="191"/>
      <c r="J54" s="35">
        <f>-1*FV($I$31,'Avoided Capital Maintenance'!J24,1)</f>
        <v>369.43510086264104</v>
      </c>
      <c r="K54" s="35">
        <f>-1*FV($I$31,'Avoided Capital Maintenance'!K24,1)</f>
        <v>369.43510086264104</v>
      </c>
      <c r="L54" s="35">
        <f>-1*FV($I$31,'Avoided Capital Maintenance'!L24,1)</f>
        <v>369.43510086264104</v>
      </c>
      <c r="M54" s="35">
        <f>-1*FV($I$31,'Avoided Capital Maintenance'!M24,1)</f>
        <v>369.43510086264104</v>
      </c>
    </row>
    <row r="55" spans="1:17" s="7" customFormat="1" x14ac:dyDescent="0.3">
      <c r="A55" s="55"/>
      <c r="B55" s="8"/>
      <c r="C55" s="8"/>
      <c r="D55" s="3"/>
      <c r="E55" s="7" t="s">
        <v>297</v>
      </c>
      <c r="F55" s="8"/>
      <c r="G55" s="42" t="s">
        <v>312</v>
      </c>
      <c r="H55" s="42"/>
      <c r="I55" s="191"/>
      <c r="J55" s="35">
        <f>-1*FV($I$31,'Avoided Capital Maintenance'!J25,1)</f>
        <v>41.813812173590925</v>
      </c>
      <c r="K55" s="35">
        <f>-1*FV($I$31,'Avoided Capital Maintenance'!K25,1)</f>
        <v>41.813812173590925</v>
      </c>
      <c r="L55" s="35">
        <f>-1*FV($I$31,'Avoided Capital Maintenance'!L25,1)</f>
        <v>41.813812173590925</v>
      </c>
      <c r="M55" s="35">
        <f>-1*FV($I$31,'Avoided Capital Maintenance'!M25,1)</f>
        <v>41.813812173590925</v>
      </c>
    </row>
    <row r="56" spans="1:17" s="7" customFormat="1" x14ac:dyDescent="0.3">
      <c r="A56" s="55"/>
      <c r="B56" s="8"/>
      <c r="C56" s="8"/>
      <c r="D56" s="3"/>
      <c r="E56" s="7" t="s">
        <v>298</v>
      </c>
      <c r="F56" s="8"/>
      <c r="G56" s="42" t="s">
        <v>312</v>
      </c>
      <c r="H56" s="42"/>
      <c r="I56" s="191"/>
      <c r="J56" s="35">
        <f>-1*FV($I$31,'Avoided Capital Maintenance'!J26,1)</f>
        <v>369.43510086264104</v>
      </c>
      <c r="K56" s="35">
        <f>-1*FV($I$31,'Avoided Capital Maintenance'!K26,1)</f>
        <v>369.43510086264104</v>
      </c>
      <c r="L56" s="35">
        <f>-1*FV($I$31,'Avoided Capital Maintenance'!L26,1)</f>
        <v>369.43510086264104</v>
      </c>
      <c r="M56" s="35">
        <f>-1*FV($I$31,'Avoided Capital Maintenance'!M26,1)</f>
        <v>369.43510086264104</v>
      </c>
    </row>
    <row r="57" spans="1:17" s="7" customFormat="1" x14ac:dyDescent="0.3">
      <c r="A57" s="55"/>
      <c r="B57" s="8"/>
      <c r="C57" s="8"/>
      <c r="D57" s="3"/>
      <c r="E57" s="7" t="s">
        <v>299</v>
      </c>
      <c r="F57" s="8"/>
      <c r="G57" s="42" t="s">
        <v>312</v>
      </c>
      <c r="H57" s="42"/>
      <c r="I57" s="191"/>
      <c r="J57" s="35">
        <f>-1*FV($I$31,'Avoided Capital Maintenance'!J27,1)</f>
        <v>41.813812173590925</v>
      </c>
      <c r="K57" s="35">
        <f>-1*FV($I$31,'Avoided Capital Maintenance'!K27,1)</f>
        <v>41.813812173590925</v>
      </c>
      <c r="L57" s="35">
        <f>-1*FV($I$31,'Avoided Capital Maintenance'!L27,1)</f>
        <v>41.813812173590925</v>
      </c>
      <c r="M57" s="35">
        <f>-1*FV($I$31,'Avoided Capital Maintenance'!M27,1)</f>
        <v>41.813812173590925</v>
      </c>
    </row>
    <row r="58" spans="1:17" s="7" customFormat="1" x14ac:dyDescent="0.3">
      <c r="A58" s="55"/>
      <c r="B58" s="8"/>
      <c r="C58" s="8"/>
      <c r="D58" s="3"/>
      <c r="E58" s="7" t="s">
        <v>300</v>
      </c>
      <c r="F58" s="8"/>
      <c r="G58" s="42" t="s">
        <v>312</v>
      </c>
      <c r="H58" s="42"/>
      <c r="I58" s="191"/>
      <c r="J58" s="35">
        <f>-1*FV($I$31,'Avoided Capital Maintenance'!J28,1)</f>
        <v>41.813812173590925</v>
      </c>
      <c r="K58" s="35">
        <f>-1*FV($I$31,'Avoided Capital Maintenance'!K28,1)</f>
        <v>41.813812173590925</v>
      </c>
      <c r="L58" s="35">
        <f>-1*FV($I$31,'Avoided Capital Maintenance'!L28,1)</f>
        <v>41.813812173590925</v>
      </c>
      <c r="M58" s="35">
        <f>-1*FV($I$31,'Avoided Capital Maintenance'!M28,1)</f>
        <v>41.813812173590925</v>
      </c>
    </row>
    <row r="59" spans="1:17" s="7" customFormat="1" x14ac:dyDescent="0.3">
      <c r="A59" s="55"/>
      <c r="B59" s="8"/>
      <c r="C59" s="8"/>
      <c r="D59" s="3"/>
      <c r="E59" s="7" t="s">
        <v>301</v>
      </c>
      <c r="F59" s="8"/>
      <c r="G59" s="42" t="s">
        <v>312</v>
      </c>
      <c r="H59" s="42"/>
      <c r="I59" s="191"/>
      <c r="J59" s="189">
        <f>-1*FV($I$31,'Avoided Capital Maintenance'!J29,1)</f>
        <v>1264.9553188371001</v>
      </c>
      <c r="K59" s="35">
        <f>-1*FV($I$31,'Avoided Capital Maintenance'!K29,1)</f>
        <v>1264.9553188371001</v>
      </c>
      <c r="L59" s="35">
        <f>-1*FV($I$31,'Avoided Capital Maintenance'!L29,1)</f>
        <v>1264.9553188371001</v>
      </c>
      <c r="M59" s="35">
        <f>-1*FV($I$31,'Avoided Capital Maintenance'!M29,1)</f>
        <v>1264.9553188371001</v>
      </c>
    </row>
    <row r="60" spans="1:17" s="7" customFormat="1" x14ac:dyDescent="0.3">
      <c r="A60" s="55"/>
      <c r="B60" s="8"/>
      <c r="C60" s="8"/>
      <c r="D60" s="3"/>
      <c r="E60" s="8"/>
      <c r="F60" s="8"/>
      <c r="G60" s="42"/>
      <c r="H60" s="42"/>
      <c r="J60" s="165"/>
      <c r="K60" s="145"/>
      <c r="L60" s="146"/>
      <c r="M60" s="146"/>
    </row>
    <row r="61" spans="1:17" x14ac:dyDescent="0.3">
      <c r="B61" s="15" t="s">
        <v>56</v>
      </c>
      <c r="C61" s="15"/>
      <c r="D61" s="15"/>
      <c r="E61" s="15"/>
      <c r="F61" s="15"/>
      <c r="G61" s="15"/>
      <c r="H61" s="15"/>
      <c r="I61" s="144"/>
      <c r="J61" s="144"/>
      <c r="K61" s="144"/>
      <c r="L61" s="144"/>
      <c r="M61" s="144"/>
      <c r="N61" s="15"/>
      <c r="O61" s="15"/>
      <c r="P61" s="15"/>
      <c r="Q61" s="15"/>
    </row>
    <row r="62" spans="1:17" x14ac:dyDescent="0.3">
      <c r="G62" s="3"/>
      <c r="H62" s="44"/>
      <c r="J62" s="145"/>
      <c r="K62" s="145"/>
      <c r="L62" s="145"/>
      <c r="M62" s="145"/>
      <c r="N62" s="3"/>
      <c r="O62" s="3"/>
    </row>
    <row r="63" spans="1:17" s="7" customFormat="1" x14ac:dyDescent="0.3">
      <c r="A63" s="55"/>
      <c r="B63" s="8"/>
      <c r="C63" s="8"/>
      <c r="D63" s="3" t="s">
        <v>67</v>
      </c>
      <c r="E63" s="3"/>
      <c r="F63" s="3"/>
      <c r="G63" s="3"/>
      <c r="H63" s="42"/>
      <c r="J63" s="145"/>
      <c r="K63" s="145"/>
      <c r="L63" s="146"/>
      <c r="M63" s="146"/>
    </row>
    <row r="64" spans="1:17" s="7" customFormat="1" x14ac:dyDescent="0.3">
      <c r="A64" s="55"/>
      <c r="B64" s="8"/>
      <c r="C64" s="8"/>
      <c r="D64" s="3"/>
      <c r="E64" s="7" t="s">
        <v>293</v>
      </c>
      <c r="F64" s="8"/>
      <c r="G64" s="42" t="s">
        <v>106</v>
      </c>
      <c r="H64" s="42"/>
      <c r="I64" s="191"/>
      <c r="J64" s="35" t="e">
        <f t="shared" ref="J64:M70" si="3">J44/J53</f>
        <v>#DIV/0!</v>
      </c>
      <c r="K64" s="35">
        <f t="shared" si="3"/>
        <v>18.214959413715484</v>
      </c>
      <c r="L64" s="35">
        <f t="shared" si="3"/>
        <v>18.214959413715484</v>
      </c>
      <c r="M64" s="35">
        <f t="shared" si="3"/>
        <v>18.214959413715484</v>
      </c>
    </row>
    <row r="65" spans="1:17" s="7" customFormat="1" x14ac:dyDescent="0.3">
      <c r="A65" s="55"/>
      <c r="B65" s="8"/>
      <c r="C65" s="8"/>
      <c r="D65" s="3"/>
      <c r="E65" s="7" t="s">
        <v>295</v>
      </c>
      <c r="F65" s="8"/>
      <c r="G65" s="42" t="s">
        <v>106</v>
      </c>
      <c r="H65" s="42"/>
      <c r="I65" s="191"/>
      <c r="J65" s="35" t="e">
        <f t="shared" si="3"/>
        <v>#DIV/0!</v>
      </c>
      <c r="K65" s="35">
        <f t="shared" si="3"/>
        <v>0.39484631388719788</v>
      </c>
      <c r="L65" s="35">
        <f t="shared" si="3"/>
        <v>0.38393731886726967</v>
      </c>
      <c r="M65" s="35">
        <f t="shared" si="3"/>
        <v>0.34433719659999618</v>
      </c>
    </row>
    <row r="66" spans="1:17" s="7" customFormat="1" x14ac:dyDescent="0.3">
      <c r="A66" s="55"/>
      <c r="B66" s="8"/>
      <c r="C66" s="8"/>
      <c r="D66" s="3"/>
      <c r="E66" s="7" t="s">
        <v>297</v>
      </c>
      <c r="F66" s="8"/>
      <c r="G66" s="42" t="s">
        <v>106</v>
      </c>
      <c r="H66" s="42"/>
      <c r="I66" s="191"/>
      <c r="J66" s="35" t="e">
        <f t="shared" si="3"/>
        <v>#DIV/0!</v>
      </c>
      <c r="K66" s="35">
        <f t="shared" si="3"/>
        <v>0.83242101848941763</v>
      </c>
      <c r="L66" s="35">
        <f t="shared" si="3"/>
        <v>0.80942250887745015</v>
      </c>
      <c r="M66" s="35">
        <f t="shared" si="3"/>
        <v>0.72593692739764781</v>
      </c>
    </row>
    <row r="67" spans="1:17" s="7" customFormat="1" x14ac:dyDescent="0.3">
      <c r="A67" s="55"/>
      <c r="B67" s="8"/>
      <c r="C67" s="8"/>
      <c r="D67" s="3"/>
      <c r="E67" s="7" t="s">
        <v>298</v>
      </c>
      <c r="F67" s="8"/>
      <c r="G67" s="42" t="s">
        <v>106</v>
      </c>
      <c r="H67" s="42"/>
      <c r="I67" s="191"/>
      <c r="J67" s="35" t="e">
        <f t="shared" si="3"/>
        <v>#DIV/0!</v>
      </c>
      <c r="K67" s="35">
        <f t="shared" si="3"/>
        <v>11.829040629755218</v>
      </c>
      <c r="L67" s="35">
        <f t="shared" si="3"/>
        <v>11.502222470937623</v>
      </c>
      <c r="M67" s="35">
        <f t="shared" si="3"/>
        <v>10.31585846355657</v>
      </c>
    </row>
    <row r="68" spans="1:17" s="7" customFormat="1" x14ac:dyDescent="0.3">
      <c r="A68" s="55"/>
      <c r="B68" s="8"/>
      <c r="C68" s="8"/>
      <c r="D68" s="3"/>
      <c r="E68" s="7" t="s">
        <v>299</v>
      </c>
      <c r="F68" s="8"/>
      <c r="G68" s="42" t="s">
        <v>106</v>
      </c>
      <c r="H68" s="42"/>
      <c r="I68" s="191"/>
      <c r="J68" s="35" t="e">
        <f t="shared" si="3"/>
        <v>#DIV/0!</v>
      </c>
      <c r="K68" s="35">
        <f t="shared" si="3"/>
        <v>0.45881315088885577</v>
      </c>
      <c r="L68" s="35">
        <f t="shared" si="3"/>
        <v>0.44613685076375442</v>
      </c>
      <c r="M68" s="35">
        <f t="shared" si="3"/>
        <v>0.40012133476675732</v>
      </c>
    </row>
    <row r="69" spans="1:17" s="7" customFormat="1" x14ac:dyDescent="0.3">
      <c r="A69" s="55"/>
      <c r="B69" s="8"/>
      <c r="C69" s="8"/>
      <c r="D69" s="3"/>
      <c r="E69" s="7" t="s">
        <v>300</v>
      </c>
      <c r="F69" s="8"/>
      <c r="G69" s="42" t="s">
        <v>106</v>
      </c>
      <c r="H69" s="42"/>
      <c r="I69" s="191"/>
      <c r="J69" s="35" t="e">
        <f>J49/J58</f>
        <v>#DIV/0!</v>
      </c>
      <c r="K69" s="35">
        <f t="shared" si="3"/>
        <v>2.5028207934067979</v>
      </c>
      <c r="L69" s="35">
        <f t="shared" si="3"/>
        <v>2.2253726642054721</v>
      </c>
      <c r="M69" s="35">
        <f t="shared" si="3"/>
        <v>2.001065506451452</v>
      </c>
    </row>
    <row r="70" spans="1:17" s="7" customFormat="1" x14ac:dyDescent="0.3">
      <c r="A70" s="55"/>
      <c r="B70" s="8"/>
      <c r="C70" s="8"/>
      <c r="D70" s="3"/>
      <c r="E70" s="7" t="s">
        <v>301</v>
      </c>
      <c r="F70" s="8"/>
      <c r="G70" s="42" t="s">
        <v>106</v>
      </c>
      <c r="H70" s="42"/>
      <c r="I70" s="191"/>
      <c r="J70" s="35" t="e">
        <f t="shared" si="3"/>
        <v>#DIV/0!</v>
      </c>
      <c r="K70" s="35">
        <f t="shared" si="3"/>
        <v>8.4322112304830092</v>
      </c>
      <c r="L70" s="35">
        <f t="shared" si="3"/>
        <v>7.4974654280304769</v>
      </c>
      <c r="M70" s="35">
        <f t="shared" si="3"/>
        <v>6.7417559742518769</v>
      </c>
    </row>
    <row r="71" spans="1:17" s="7" customFormat="1" x14ac:dyDescent="0.3">
      <c r="A71" s="55"/>
      <c r="B71" s="8"/>
      <c r="C71" s="8"/>
      <c r="D71" s="3"/>
      <c r="F71" s="8"/>
      <c r="G71" s="42"/>
      <c r="H71" s="42"/>
      <c r="J71" s="50"/>
      <c r="K71" s="50"/>
      <c r="L71" s="50"/>
      <c r="M71" s="50"/>
    </row>
    <row r="72" spans="1:17" s="7" customFormat="1" x14ac:dyDescent="0.3">
      <c r="A72" s="55"/>
      <c r="B72" s="8"/>
      <c r="C72" s="8"/>
      <c r="D72" s="3"/>
      <c r="E72" s="156" t="s">
        <v>223</v>
      </c>
      <c r="F72" s="157"/>
      <c r="G72" s="157" t="s">
        <v>230</v>
      </c>
      <c r="H72" s="156"/>
      <c r="I72" s="191"/>
      <c r="J72" s="151" t="e">
        <f>SUM(J64:J68)</f>
        <v>#DIV/0!</v>
      </c>
      <c r="K72" s="151">
        <f>SUM(K64:K68)</f>
        <v>31.73008052673617</v>
      </c>
      <c r="L72" s="151">
        <f>SUM(L64:L68)</f>
        <v>31.356678563161577</v>
      </c>
      <c r="M72" s="151">
        <f>SUM(M64:M68)</f>
        <v>30.001213336036454</v>
      </c>
    </row>
    <row r="73" spans="1:17" s="7" customFormat="1" x14ac:dyDescent="0.3">
      <c r="A73" s="55"/>
      <c r="B73" s="8"/>
      <c r="C73" s="8"/>
      <c r="D73" s="3"/>
      <c r="E73" s="156" t="s">
        <v>224</v>
      </c>
      <c r="F73" s="157"/>
      <c r="G73" s="157" t="s">
        <v>230</v>
      </c>
      <c r="H73" s="156"/>
      <c r="I73" s="191"/>
      <c r="J73" s="151" t="e">
        <f>SUM(J69:J70)</f>
        <v>#DIV/0!</v>
      </c>
      <c r="K73" s="151">
        <f>SUM(K69:K70)</f>
        <v>10.935032023889807</v>
      </c>
      <c r="L73" s="151">
        <f>SUM(L69:L70)</f>
        <v>9.7228380922359499</v>
      </c>
      <c r="M73" s="151">
        <f>SUM(M69:M70)</f>
        <v>8.7428214807033289</v>
      </c>
    </row>
    <row r="74" spans="1:17" s="7" customFormat="1" x14ac:dyDescent="0.3">
      <c r="A74" s="55"/>
      <c r="B74" s="8"/>
      <c r="C74" s="8"/>
      <c r="D74" s="3"/>
      <c r="E74" s="29" t="s">
        <v>313</v>
      </c>
      <c r="F74" s="52"/>
      <c r="G74" s="52" t="s">
        <v>230</v>
      </c>
      <c r="H74" s="29"/>
      <c r="I74" s="191"/>
      <c r="J74" s="158" t="e">
        <f>J73+J72</f>
        <v>#DIV/0!</v>
      </c>
      <c r="K74" s="158">
        <f>K73+K72</f>
        <v>42.665112550625977</v>
      </c>
      <c r="L74" s="158">
        <f>L73+L72</f>
        <v>41.079516655397526</v>
      </c>
      <c r="M74" s="158">
        <f>M73+M72</f>
        <v>38.744034816739784</v>
      </c>
    </row>
    <row r="75" spans="1:17" s="7" customFormat="1" x14ac:dyDescent="0.3">
      <c r="A75" s="55"/>
      <c r="B75" s="8"/>
      <c r="C75" s="8"/>
      <c r="D75" s="3"/>
      <c r="E75" s="8"/>
      <c r="F75" s="8"/>
      <c r="G75" s="42"/>
      <c r="H75" s="42"/>
      <c r="I75" s="165"/>
      <c r="J75" s="145"/>
      <c r="K75" s="146"/>
      <c r="L75" s="146"/>
    </row>
    <row r="76" spans="1:17" s="7" customFormat="1" x14ac:dyDescent="0.3">
      <c r="A76" s="55"/>
      <c r="B76" s="8"/>
      <c r="C76" s="8"/>
      <c r="D76" s="3"/>
      <c r="E76" s="8"/>
      <c r="F76" s="8"/>
      <c r="G76" s="42"/>
      <c r="H76" s="42"/>
      <c r="I76" s="165"/>
      <c r="J76" s="145"/>
      <c r="K76" s="146"/>
      <c r="L76" s="146"/>
    </row>
    <row r="77" spans="1:17" customFormat="1" x14ac:dyDescent="0.3">
      <c r="A77" s="15"/>
      <c r="B77" s="15" t="s">
        <v>76</v>
      </c>
      <c r="C77" s="15"/>
      <c r="D77" s="15"/>
      <c r="E77" s="15"/>
      <c r="F77" s="15"/>
      <c r="G77" s="15"/>
      <c r="H77" s="37"/>
      <c r="I77" s="144"/>
      <c r="J77" s="144"/>
      <c r="K77" s="144"/>
      <c r="L77" s="144"/>
      <c r="M77" s="144"/>
      <c r="N77" s="144"/>
      <c r="O77" s="144"/>
      <c r="P77" s="144"/>
      <c r="Q77" s="144"/>
    </row>
  </sheetData>
  <sheetProtection algorithmName="SHA-512" hashValue="Xws1qHBG0cjKtZKz3SLiJLh8blhIzXmtETZIb8Ej7WLUIvyEOV7zAXLe51fCtTNZSVlTTr3OL+nDcjBk+0nKHQ==" saltValue="KIA4IzbTe7qN5Br4jtrwyA==" spinCount="100000" sheet="1" objects="1" scenarios="1" selectLockedCells="1" selectUnlockedCells="1"/>
  <mergeCells count="1">
    <mergeCell ref="E6:J9"/>
  </mergeCells>
  <hyperlinks>
    <hyperlink ref="A3" location="Intro!A1" display="Return to Intro tab" xr:uid="{30A19310-80E5-4BE0-9719-040FB083EB5F}"/>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30355-CA2F-41A5-B156-7C4E703111C9}">
  <sheetPr>
    <tabColor rgb="FF6D65A0"/>
  </sheetPr>
  <dimension ref="A1:U106"/>
  <sheetViews>
    <sheetView showGridLines="0" zoomScale="80" zoomScaleNormal="80" workbookViewId="0">
      <selection activeCell="N3" sqref="N3"/>
    </sheetView>
  </sheetViews>
  <sheetFormatPr defaultColWidth="0" defaultRowHeight="13" zeroHeight="1" outlineLevelRow="1" x14ac:dyDescent="0.3"/>
  <cols>
    <col min="1" max="4" width="2.453125" style="8" customWidth="1"/>
    <col min="5" max="6" width="2.453125" style="32" customWidth="1"/>
    <col min="7" max="7" width="30.453125" style="8" customWidth="1"/>
    <col min="8" max="8" width="2.54296875" style="8" customWidth="1"/>
    <col min="9" max="9" width="11.453125" style="8" bestFit="1" customWidth="1"/>
    <col min="10" max="10" width="2.54296875" style="41" customWidth="1"/>
    <col min="11" max="11" width="9.453125" style="41" bestFit="1" customWidth="1"/>
    <col min="12" max="12" width="12.54296875" style="138" bestFit="1" customWidth="1"/>
    <col min="13" max="15" width="16.453125" style="138" bestFit="1" customWidth="1"/>
    <col min="16" max="16" width="2.54296875" style="8" customWidth="1"/>
    <col min="17" max="17" width="9.54296875" style="8" hidden="1" customWidth="1"/>
    <col min="18" max="18" width="7.453125" hidden="1" customWidth="1"/>
    <col min="19" max="19" width="8.54296875" style="8" hidden="1" customWidth="1"/>
    <col min="20" max="21" width="0" style="8" hidden="1" customWidth="1"/>
    <col min="22" max="16384" width="8.54296875" style="8" hidden="1"/>
  </cols>
  <sheetData>
    <row r="1" spans="1:19" s="13" customFormat="1" ht="17.5" x14ac:dyDescent="0.3">
      <c r="A1" s="11" t="str" cm="1">
        <f t="array" aca="1" ref="A1" ca="1">RIGHT(CELL("filename",A$2),LEN(CELL("filename",A$2))-FIND("]",CELL("filename",A$2)))</f>
        <v>Avoided Operating Costs</v>
      </c>
      <c r="B1" s="11"/>
      <c r="C1" s="11"/>
      <c r="D1" s="11"/>
      <c r="E1" s="11"/>
      <c r="F1" s="11"/>
      <c r="G1" s="11"/>
      <c r="H1" s="11"/>
      <c r="I1" s="11"/>
      <c r="J1" s="37"/>
      <c r="K1" s="37"/>
      <c r="L1" s="140"/>
      <c r="M1" s="140"/>
      <c r="N1" s="140"/>
      <c r="O1" s="140"/>
    </row>
    <row r="2" spans="1:19" s="1" customFormat="1" x14ac:dyDescent="0.3">
      <c r="A2" s="14"/>
      <c r="B2" s="14"/>
      <c r="C2" s="14"/>
      <c r="D2" s="14"/>
      <c r="E2" s="14"/>
      <c r="F2" s="14"/>
      <c r="G2" s="14"/>
      <c r="H2" s="14"/>
      <c r="I2" s="14"/>
      <c r="J2" s="38"/>
      <c r="K2" s="38"/>
      <c r="L2" s="141"/>
      <c r="M2" s="141"/>
      <c r="N2" s="141"/>
      <c r="O2" s="141"/>
      <c r="P2" s="14"/>
      <c r="Q2" s="14"/>
    </row>
    <row r="3" spans="1:19" customFormat="1" x14ac:dyDescent="0.3">
      <c r="A3" s="31" t="s">
        <v>176</v>
      </c>
      <c r="E3" s="3"/>
      <c r="F3" s="3"/>
      <c r="J3" s="39"/>
      <c r="K3" s="39"/>
      <c r="L3" s="142"/>
      <c r="M3" s="142"/>
      <c r="N3" s="142"/>
      <c r="O3" s="142"/>
    </row>
    <row r="4" spans="1:19" ht="13.5" customHeight="1" x14ac:dyDescent="0.3">
      <c r="G4" s="32"/>
      <c r="H4" s="32"/>
      <c r="I4" s="32"/>
      <c r="J4" s="40"/>
      <c r="K4" s="40"/>
      <c r="L4" s="143"/>
    </row>
    <row r="5" spans="1:19" customFormat="1" x14ac:dyDescent="0.3">
      <c r="B5" s="15" t="s">
        <v>44</v>
      </c>
      <c r="C5" s="15"/>
      <c r="D5" s="15"/>
      <c r="E5" s="15"/>
      <c r="F5" s="15"/>
      <c r="G5" s="15"/>
      <c r="H5" s="15"/>
      <c r="I5" s="15"/>
      <c r="J5" s="37"/>
      <c r="K5" s="37"/>
      <c r="L5" s="144"/>
      <c r="M5" s="144"/>
      <c r="N5" s="144"/>
      <c r="O5" s="144"/>
      <c r="P5" s="15"/>
      <c r="Q5" s="15"/>
      <c r="R5" s="15"/>
      <c r="S5" s="15"/>
    </row>
    <row r="6" spans="1:19" ht="4.4000000000000004" customHeight="1" x14ac:dyDescent="0.3">
      <c r="G6" s="413" t="s">
        <v>66</v>
      </c>
      <c r="H6" s="413"/>
      <c r="I6" s="413"/>
      <c r="J6" s="413"/>
      <c r="K6" s="413"/>
      <c r="L6" s="413"/>
      <c r="M6" s="413"/>
      <c r="R6" s="8"/>
    </row>
    <row r="7" spans="1:19" hidden="1" x14ac:dyDescent="0.3">
      <c r="E7" s="3"/>
      <c r="F7" s="3"/>
      <c r="G7" s="413"/>
      <c r="H7" s="413"/>
      <c r="I7" s="413"/>
      <c r="J7" s="413"/>
      <c r="K7" s="413"/>
      <c r="L7" s="413"/>
      <c r="M7" s="413"/>
      <c r="R7" s="8"/>
    </row>
    <row r="8" spans="1:19" x14ac:dyDescent="0.3">
      <c r="E8" s="3"/>
      <c r="F8" s="3"/>
      <c r="G8" s="413"/>
      <c r="H8" s="413"/>
      <c r="I8" s="413"/>
      <c r="J8" s="413"/>
      <c r="K8" s="413"/>
      <c r="L8" s="413"/>
      <c r="M8" s="413"/>
      <c r="R8" s="8"/>
    </row>
    <row r="9" spans="1:19" x14ac:dyDescent="0.3">
      <c r="E9" s="3"/>
      <c r="F9" s="3"/>
      <c r="G9" s="413"/>
      <c r="H9" s="413"/>
      <c r="I9" s="413"/>
      <c r="J9" s="413"/>
      <c r="K9" s="413"/>
      <c r="L9" s="413"/>
      <c r="M9" s="413"/>
      <c r="R9" s="8"/>
    </row>
    <row r="10" spans="1:19" x14ac:dyDescent="0.3">
      <c r="E10" s="3"/>
      <c r="F10" s="3"/>
      <c r="G10" s="153"/>
      <c r="H10" s="153"/>
      <c r="I10" s="153"/>
      <c r="J10" s="153"/>
      <c r="K10" s="153"/>
      <c r="L10" s="153"/>
      <c r="M10" s="153"/>
      <c r="R10" s="8"/>
    </row>
    <row r="11" spans="1:19" x14ac:dyDescent="0.3">
      <c r="E11" s="3"/>
      <c r="F11" s="3"/>
      <c r="K11" s="35" t="s">
        <v>291</v>
      </c>
      <c r="L11" s="161" t="s">
        <v>268</v>
      </c>
      <c r="M11" s="162" t="s">
        <v>216</v>
      </c>
      <c r="N11" s="162" t="s">
        <v>218</v>
      </c>
      <c r="O11" s="162" t="s">
        <v>219</v>
      </c>
      <c r="R11" s="8"/>
    </row>
    <row r="12" spans="1:19" x14ac:dyDescent="0.3">
      <c r="B12" s="15" t="s">
        <v>73</v>
      </c>
      <c r="C12" s="15"/>
      <c r="D12" s="15"/>
      <c r="E12" s="15"/>
      <c r="F12" s="15"/>
      <c r="G12" s="15"/>
      <c r="H12" s="15"/>
      <c r="I12" s="15"/>
      <c r="J12" s="15"/>
      <c r="K12" s="15"/>
      <c r="L12" s="144"/>
      <c r="M12" s="144"/>
      <c r="N12" s="144"/>
      <c r="O12" s="144"/>
      <c r="P12" s="15"/>
      <c r="Q12" s="15"/>
      <c r="R12" s="15"/>
      <c r="S12" s="15"/>
    </row>
    <row r="13" spans="1:19" x14ac:dyDescent="0.3">
      <c r="I13" s="3"/>
      <c r="J13" s="44"/>
      <c r="K13" s="44"/>
      <c r="L13" s="145"/>
      <c r="M13" s="145"/>
      <c r="N13" s="145"/>
      <c r="O13" s="145"/>
      <c r="P13" s="3"/>
      <c r="Q13" s="3"/>
    </row>
    <row r="14" spans="1:19" s="7" customFormat="1" outlineLevel="1" x14ac:dyDescent="0.3">
      <c r="A14" s="55"/>
      <c r="B14" s="8"/>
      <c r="C14" s="8"/>
      <c r="D14" s="8"/>
      <c r="E14" s="3" t="s">
        <v>292</v>
      </c>
      <c r="F14" s="3"/>
      <c r="G14" s="3"/>
      <c r="H14" s="3"/>
      <c r="I14" s="3"/>
      <c r="J14" s="42"/>
      <c r="K14" s="42"/>
      <c r="L14" s="145"/>
      <c r="M14" s="145"/>
      <c r="N14" s="146"/>
      <c r="O14" s="146"/>
    </row>
    <row r="15" spans="1:19" s="7" customFormat="1" outlineLevel="1" x14ac:dyDescent="0.3">
      <c r="A15" s="55"/>
      <c r="B15" s="8"/>
      <c r="C15" s="8"/>
      <c r="D15" s="8"/>
      <c r="E15" s="3"/>
      <c r="F15" s="3"/>
      <c r="G15" s="8" t="s">
        <v>314</v>
      </c>
      <c r="H15" s="8"/>
      <c r="I15" s="42" t="s">
        <v>230</v>
      </c>
      <c r="J15" s="42"/>
      <c r="K15" s="139">
        <v>1.425347210076799</v>
      </c>
      <c r="L15" s="121">
        <f>K15</f>
        <v>1.425347210076799</v>
      </c>
      <c r="M15" s="121">
        <f>L15</f>
        <v>1.425347210076799</v>
      </c>
      <c r="N15" s="121">
        <f>M15</f>
        <v>1.425347210076799</v>
      </c>
      <c r="O15" s="121">
        <f>N15</f>
        <v>1.425347210076799</v>
      </c>
    </row>
    <row r="16" spans="1:19" s="7" customFormat="1" outlineLevel="1" x14ac:dyDescent="0.3">
      <c r="A16" s="55"/>
      <c r="B16" s="8"/>
      <c r="C16" s="8"/>
      <c r="D16" s="8"/>
      <c r="E16" s="3"/>
      <c r="F16" s="3"/>
      <c r="G16" s="8" t="s">
        <v>315</v>
      </c>
      <c r="H16" s="8"/>
      <c r="I16" s="42" t="s">
        <v>230</v>
      </c>
      <c r="J16" s="42"/>
      <c r="K16" s="139">
        <v>0.35385279133983155</v>
      </c>
      <c r="L16" s="121">
        <f t="shared" ref="L16:O19" si="0">K16</f>
        <v>0.35385279133983155</v>
      </c>
      <c r="M16" s="121">
        <f t="shared" si="0"/>
        <v>0.35385279133983155</v>
      </c>
      <c r="N16" s="121">
        <f t="shared" si="0"/>
        <v>0.35385279133983155</v>
      </c>
      <c r="O16" s="121">
        <f t="shared" si="0"/>
        <v>0.35385279133983155</v>
      </c>
    </row>
    <row r="17" spans="1:15" s="7" customFormat="1" outlineLevel="1" x14ac:dyDescent="0.3">
      <c r="A17" s="55"/>
      <c r="B17" s="8"/>
      <c r="C17" s="8"/>
      <c r="D17" s="8"/>
      <c r="E17" s="3"/>
      <c r="F17" s="3"/>
      <c r="G17" s="8" t="s">
        <v>316</v>
      </c>
      <c r="H17" s="8"/>
      <c r="I17" s="42" t="s">
        <v>296</v>
      </c>
      <c r="J17" s="42"/>
      <c r="K17" s="148">
        <v>6.0749734521841237E-2</v>
      </c>
      <c r="L17" s="121">
        <f t="shared" si="0"/>
        <v>6.0749734521841237E-2</v>
      </c>
      <c r="M17" s="121">
        <f t="shared" si="0"/>
        <v>6.0749734521841237E-2</v>
      </c>
      <c r="N17" s="121">
        <f t="shared" si="0"/>
        <v>6.0749734521841237E-2</v>
      </c>
      <c r="O17" s="121">
        <f t="shared" si="0"/>
        <v>6.0749734521841237E-2</v>
      </c>
    </row>
    <row r="18" spans="1:15" s="7" customFormat="1" outlineLevel="1" x14ac:dyDescent="0.3">
      <c r="A18" s="55"/>
      <c r="B18" s="8"/>
      <c r="C18" s="8"/>
      <c r="D18" s="8"/>
      <c r="E18" s="3"/>
      <c r="F18" s="3"/>
      <c r="G18" s="8" t="s">
        <v>317</v>
      </c>
      <c r="H18" s="8"/>
      <c r="I18" s="42" t="s">
        <v>296</v>
      </c>
      <c r="J18" s="42"/>
      <c r="K18" s="148">
        <v>1.0620314984745216</v>
      </c>
      <c r="L18" s="121">
        <f t="shared" si="0"/>
        <v>1.0620314984745216</v>
      </c>
      <c r="M18" s="121">
        <f t="shared" si="0"/>
        <v>1.0620314984745216</v>
      </c>
      <c r="N18" s="121">
        <f t="shared" si="0"/>
        <v>1.0620314984745216</v>
      </c>
      <c r="O18" s="121">
        <f t="shared" si="0"/>
        <v>1.0620314984745216</v>
      </c>
    </row>
    <row r="19" spans="1:15" s="7" customFormat="1" outlineLevel="1" x14ac:dyDescent="0.3">
      <c r="A19" s="55"/>
      <c r="B19" s="8"/>
      <c r="C19" s="8"/>
      <c r="D19" s="8"/>
      <c r="E19" s="3"/>
      <c r="F19" s="3"/>
      <c r="G19" s="8" t="s">
        <v>318</v>
      </c>
      <c r="H19" s="8"/>
      <c r="I19" s="42" t="s">
        <v>296</v>
      </c>
      <c r="J19" s="42"/>
      <c r="K19" s="148">
        <v>1.1935625952740521</v>
      </c>
      <c r="L19" s="121">
        <f t="shared" si="0"/>
        <v>1.1935625952740521</v>
      </c>
      <c r="M19" s="121">
        <f t="shared" si="0"/>
        <v>1.1935625952740521</v>
      </c>
      <c r="N19" s="121">
        <f t="shared" si="0"/>
        <v>1.1935625952740521</v>
      </c>
      <c r="O19" s="121">
        <f t="shared" si="0"/>
        <v>1.1935625952740521</v>
      </c>
    </row>
    <row r="20" spans="1:15" outlineLevel="1" x14ac:dyDescent="0.3">
      <c r="K20" s="138"/>
      <c r="L20" s="166"/>
      <c r="M20" s="166"/>
      <c r="N20" s="166"/>
      <c r="O20" s="166"/>
    </row>
    <row r="21" spans="1:15" outlineLevel="1" x14ac:dyDescent="0.3">
      <c r="E21" s="3" t="s">
        <v>245</v>
      </c>
      <c r="F21" s="3"/>
      <c r="K21" s="138"/>
      <c r="L21" s="166"/>
      <c r="M21" s="166"/>
      <c r="N21" s="166"/>
      <c r="O21" s="166"/>
    </row>
    <row r="22" spans="1:15" s="7" customFormat="1" outlineLevel="1" x14ac:dyDescent="0.3">
      <c r="A22" s="55"/>
      <c r="B22" s="8"/>
      <c r="C22" s="8"/>
      <c r="D22" s="8"/>
      <c r="E22" s="3"/>
      <c r="F22" s="3"/>
      <c r="G22" s="8" t="s">
        <v>223</v>
      </c>
      <c r="H22" s="8"/>
      <c r="I22" s="42" t="s">
        <v>198</v>
      </c>
      <c r="J22" s="42"/>
      <c r="K22" s="149">
        <v>0.14092868469618344</v>
      </c>
      <c r="L22" s="185">
        <f t="shared" ref="L22:O23" si="1">K22</f>
        <v>0.14092868469618344</v>
      </c>
      <c r="M22" s="185">
        <f t="shared" si="1"/>
        <v>0.14092868469618344</v>
      </c>
      <c r="N22" s="185">
        <f t="shared" si="1"/>
        <v>0.14092868469618344</v>
      </c>
      <c r="O22" s="185">
        <f t="shared" si="1"/>
        <v>0.14092868469618344</v>
      </c>
    </row>
    <row r="23" spans="1:15" s="7" customFormat="1" outlineLevel="1" x14ac:dyDescent="0.3">
      <c r="A23" s="55"/>
      <c r="B23" s="8"/>
      <c r="C23" s="8"/>
      <c r="D23" s="8"/>
      <c r="E23" s="3"/>
      <c r="F23" s="3"/>
      <c r="G23" s="8" t="s">
        <v>305</v>
      </c>
      <c r="H23" s="8"/>
      <c r="I23" s="42" t="s">
        <v>198</v>
      </c>
      <c r="J23" s="42"/>
      <c r="K23" s="149">
        <v>0.18616956849031482</v>
      </c>
      <c r="L23" s="250">
        <f t="shared" si="1"/>
        <v>0.18616956849031482</v>
      </c>
      <c r="M23" s="185">
        <f t="shared" si="1"/>
        <v>0.18616956849031482</v>
      </c>
      <c r="N23" s="185">
        <f t="shared" si="1"/>
        <v>0.18616956849031482</v>
      </c>
      <c r="O23" s="185">
        <f t="shared" si="1"/>
        <v>0.18616956849031482</v>
      </c>
    </row>
    <row r="24" spans="1:15" s="7" customFormat="1" outlineLevel="1" x14ac:dyDescent="0.3">
      <c r="A24" s="55"/>
      <c r="B24" s="8"/>
      <c r="C24" s="8"/>
      <c r="D24" s="8"/>
      <c r="E24" s="3"/>
      <c r="F24" s="3"/>
      <c r="G24" s="8"/>
      <c r="H24" s="8"/>
      <c r="I24" s="42"/>
      <c r="J24" s="42"/>
      <c r="K24" s="42"/>
      <c r="L24" s="249"/>
      <c r="M24" s="145"/>
      <c r="N24" s="146"/>
      <c r="O24" s="146"/>
    </row>
    <row r="25" spans="1:15" s="7" customFormat="1" outlineLevel="1" x14ac:dyDescent="0.3">
      <c r="A25" s="55"/>
      <c r="B25" s="8"/>
      <c r="C25" s="8"/>
      <c r="D25" s="8"/>
      <c r="E25" s="3" t="s">
        <v>319</v>
      </c>
      <c r="F25" s="3"/>
      <c r="G25" s="8"/>
      <c r="H25" s="8"/>
      <c r="I25" s="42"/>
      <c r="J25" s="42"/>
      <c r="K25" s="42"/>
      <c r="M25" s="145"/>
      <c r="N25" s="146"/>
      <c r="O25" s="146"/>
    </row>
    <row r="26" spans="1:15" s="7" customFormat="1" outlineLevel="1" x14ac:dyDescent="0.3">
      <c r="A26" s="55"/>
      <c r="B26" s="8"/>
      <c r="C26" s="8"/>
      <c r="D26" s="8"/>
      <c r="E26" s="3"/>
      <c r="F26" s="3"/>
      <c r="G26" s="8" t="s">
        <v>320</v>
      </c>
      <c r="H26" s="8"/>
      <c r="I26" s="42" t="s">
        <v>321</v>
      </c>
      <c r="J26" s="42"/>
      <c r="K26" s="183"/>
      <c r="L26" s="139">
        <f>Cockpit!$I$27</f>
        <v>0</v>
      </c>
      <c r="M26" s="121">
        <f t="shared" ref="M26:O28" si="2">L26</f>
        <v>0</v>
      </c>
      <c r="N26" s="121">
        <f t="shared" si="2"/>
        <v>0</v>
      </c>
      <c r="O26" s="121">
        <f t="shared" si="2"/>
        <v>0</v>
      </c>
    </row>
    <row r="27" spans="1:15" s="7" customFormat="1" outlineLevel="1" x14ac:dyDescent="0.3">
      <c r="A27" s="55"/>
      <c r="B27" s="8"/>
      <c r="C27" s="8"/>
      <c r="D27" s="8"/>
      <c r="E27" s="3"/>
      <c r="F27" s="3"/>
      <c r="G27" s="8" t="s">
        <v>322</v>
      </c>
      <c r="H27" s="8"/>
      <c r="I27" s="42" t="s">
        <v>321</v>
      </c>
      <c r="J27" s="42"/>
      <c r="K27" s="183"/>
      <c r="L27" s="139">
        <f>Cockpit!$I$28</f>
        <v>0</v>
      </c>
      <c r="M27" s="121">
        <f t="shared" si="2"/>
        <v>0</v>
      </c>
      <c r="N27" s="121">
        <f t="shared" si="2"/>
        <v>0</v>
      </c>
      <c r="O27" s="121">
        <f t="shared" si="2"/>
        <v>0</v>
      </c>
    </row>
    <row r="28" spans="1:15" s="7" customFormat="1" outlineLevel="1" x14ac:dyDescent="0.3">
      <c r="A28" s="55"/>
      <c r="B28" s="8"/>
      <c r="C28" s="8"/>
      <c r="D28" s="8"/>
      <c r="F28" s="3"/>
      <c r="G28" s="7" t="s">
        <v>313</v>
      </c>
      <c r="H28" s="8"/>
      <c r="I28" s="42" t="s">
        <v>321</v>
      </c>
      <c r="J28" s="42"/>
      <c r="K28" s="183"/>
      <c r="L28" s="139">
        <f>Cockpit!$I$29</f>
        <v>0</v>
      </c>
      <c r="M28" s="121">
        <f t="shared" si="2"/>
        <v>0</v>
      </c>
      <c r="N28" s="121">
        <f t="shared" si="2"/>
        <v>0</v>
      </c>
      <c r="O28" s="121">
        <f t="shared" si="2"/>
        <v>0</v>
      </c>
    </row>
    <row r="29" spans="1:15" s="108" customFormat="1" outlineLevel="1" x14ac:dyDescent="0.3">
      <c r="A29" s="55"/>
      <c r="B29" s="55"/>
      <c r="C29" s="55"/>
      <c r="D29" s="55"/>
      <c r="E29" s="3"/>
      <c r="F29" s="3"/>
      <c r="G29" s="55"/>
      <c r="H29" s="55"/>
      <c r="I29" s="171"/>
      <c r="J29" s="171"/>
      <c r="K29" s="171"/>
      <c r="L29" s="145"/>
      <c r="M29" s="145"/>
      <c r="N29" s="172"/>
      <c r="O29" s="172"/>
    </row>
    <row r="30" spans="1:15" s="7" customFormat="1" outlineLevel="1" x14ac:dyDescent="0.3">
      <c r="A30" s="55"/>
      <c r="B30" s="8"/>
      <c r="C30" s="8"/>
      <c r="D30" s="8"/>
      <c r="E30" s="3" t="s">
        <v>323</v>
      </c>
      <c r="F30" s="3"/>
      <c r="G30" s="8"/>
      <c r="H30" s="8"/>
      <c r="I30" s="42"/>
      <c r="J30" s="42"/>
      <c r="K30" s="42"/>
      <c r="M30" s="145"/>
      <c r="N30" s="146"/>
      <c r="O30" s="146"/>
    </row>
    <row r="31" spans="1:15" s="7" customFormat="1" outlineLevel="1" x14ac:dyDescent="0.3">
      <c r="A31" s="55"/>
      <c r="B31" s="8"/>
      <c r="C31" s="8"/>
      <c r="D31" s="8"/>
      <c r="E31" s="3"/>
      <c r="F31" s="3"/>
      <c r="G31" s="8" t="s">
        <v>320</v>
      </c>
      <c r="H31" s="8"/>
      <c r="I31" s="42" t="s">
        <v>95</v>
      </c>
      <c r="J31" s="42"/>
      <c r="K31" s="183"/>
      <c r="L31" s="139">
        <f>Cockpit!$I$32</f>
        <v>0</v>
      </c>
      <c r="M31" s="121">
        <f t="shared" ref="M31:O32" si="3">L31</f>
        <v>0</v>
      </c>
      <c r="N31" s="121">
        <f t="shared" si="3"/>
        <v>0</v>
      </c>
      <c r="O31" s="121">
        <f t="shared" si="3"/>
        <v>0</v>
      </c>
    </row>
    <row r="32" spans="1:15" s="7" customFormat="1" outlineLevel="1" x14ac:dyDescent="0.3">
      <c r="A32" s="55"/>
      <c r="B32" s="8"/>
      <c r="C32" s="8"/>
      <c r="D32" s="8"/>
      <c r="E32" s="3"/>
      <c r="F32" s="3"/>
      <c r="G32" s="8" t="s">
        <v>322</v>
      </c>
      <c r="H32" s="8"/>
      <c r="I32" s="42" t="s">
        <v>95</v>
      </c>
      <c r="J32" s="42"/>
      <c r="K32" s="183"/>
      <c r="L32" s="139">
        <f>Cockpit!$I$33</f>
        <v>0</v>
      </c>
      <c r="M32" s="121">
        <f t="shared" si="3"/>
        <v>0</v>
      </c>
      <c r="N32" s="121">
        <f t="shared" si="3"/>
        <v>0</v>
      </c>
      <c r="O32" s="121">
        <f t="shared" si="3"/>
        <v>0</v>
      </c>
    </row>
    <row r="33" spans="1:15" s="108" customFormat="1" outlineLevel="1" x14ac:dyDescent="0.3">
      <c r="A33" s="55"/>
      <c r="B33" s="55"/>
      <c r="C33" s="55"/>
      <c r="D33" s="55"/>
      <c r="E33" s="3"/>
      <c r="F33" s="3"/>
      <c r="G33" s="55"/>
      <c r="H33" s="55"/>
      <c r="I33" s="171"/>
      <c r="J33" s="171"/>
      <c r="K33" s="171"/>
      <c r="L33" s="145"/>
      <c r="M33" s="145"/>
      <c r="N33" s="172"/>
      <c r="O33" s="172"/>
    </row>
    <row r="34" spans="1:15" outlineLevel="1" x14ac:dyDescent="0.3">
      <c r="A34" s="55"/>
      <c r="E34" s="3" t="s">
        <v>186</v>
      </c>
      <c r="F34" s="3"/>
      <c r="G34" s="3"/>
      <c r="H34" s="3"/>
      <c r="I34" s="3"/>
      <c r="J34" s="42"/>
      <c r="K34" s="42"/>
      <c r="L34" s="145"/>
      <c r="M34" s="136"/>
      <c r="N34" s="136"/>
      <c r="O34" s="136"/>
    </row>
    <row r="35" spans="1:15" s="7" customFormat="1" outlineLevel="1" x14ac:dyDescent="0.3">
      <c r="A35" s="55"/>
      <c r="B35" s="8"/>
      <c r="C35" s="8"/>
      <c r="D35" s="8"/>
      <c r="E35" s="3"/>
      <c r="F35" s="3"/>
      <c r="G35" s="8" t="s">
        <v>298</v>
      </c>
      <c r="H35" s="8"/>
      <c r="I35" s="42" t="s">
        <v>89</v>
      </c>
      <c r="J35" s="42"/>
      <c r="K35" s="183"/>
      <c r="L35" s="139">
        <f>Cockpit!I21</f>
        <v>0</v>
      </c>
      <c r="M35" s="183"/>
      <c r="N35" s="183"/>
      <c r="O35" s="183"/>
    </row>
    <row r="36" spans="1:15" s="7" customFormat="1" outlineLevel="1" x14ac:dyDescent="0.3">
      <c r="A36" s="55"/>
      <c r="B36" s="8"/>
      <c r="C36" s="8"/>
      <c r="D36" s="8"/>
      <c r="E36" s="32"/>
      <c r="F36" s="32"/>
      <c r="G36" s="8" t="s">
        <v>301</v>
      </c>
      <c r="H36" s="8"/>
      <c r="I36" s="42" t="s">
        <v>89</v>
      </c>
      <c r="J36" s="41"/>
      <c r="K36" s="184"/>
      <c r="L36" s="139">
        <f>Cockpit!I23</f>
        <v>0</v>
      </c>
      <c r="M36" s="184"/>
      <c r="N36" s="184"/>
      <c r="O36" s="184"/>
    </row>
    <row r="37" spans="1:15" s="7" customFormat="1" outlineLevel="1" x14ac:dyDescent="0.3">
      <c r="A37" s="55"/>
      <c r="B37" s="8"/>
      <c r="C37" s="8"/>
      <c r="D37" s="8"/>
      <c r="E37" s="32"/>
      <c r="F37" s="32"/>
      <c r="G37" s="8" t="s">
        <v>324</v>
      </c>
      <c r="H37" s="8"/>
      <c r="I37" s="42" t="s">
        <v>208</v>
      </c>
      <c r="J37" s="41"/>
      <c r="K37" s="139">
        <f>Cockpit!$I$48</f>
        <v>4</v>
      </c>
      <c r="L37" s="35">
        <f>K37</f>
        <v>4</v>
      </c>
      <c r="M37" s="35">
        <f>L37</f>
        <v>4</v>
      </c>
      <c r="N37" s="35">
        <f>M37</f>
        <v>4</v>
      </c>
      <c r="O37" s="35">
        <f>N37</f>
        <v>4</v>
      </c>
    </row>
    <row r="38" spans="1:15" s="7" customFormat="1" outlineLevel="1" x14ac:dyDescent="0.3">
      <c r="A38" s="55"/>
      <c r="B38" s="8"/>
      <c r="C38" s="8"/>
      <c r="D38" s="8"/>
      <c r="E38" s="3"/>
      <c r="F38" s="3"/>
      <c r="G38" s="3"/>
      <c r="H38" s="3"/>
      <c r="I38" s="3"/>
      <c r="J38" s="42"/>
      <c r="K38" s="42"/>
      <c r="L38" s="145"/>
      <c r="M38" s="145"/>
      <c r="N38" s="146"/>
      <c r="O38" s="146"/>
    </row>
    <row r="39" spans="1:15" s="7" customFormat="1" hidden="1" outlineLevel="1" x14ac:dyDescent="0.3">
      <c r="A39" s="55"/>
      <c r="B39" s="8"/>
      <c r="C39" s="8"/>
      <c r="D39" s="8"/>
      <c r="E39" s="3" t="s">
        <v>325</v>
      </c>
      <c r="F39" s="3"/>
      <c r="G39" s="3"/>
      <c r="H39" s="3"/>
      <c r="I39" s="3"/>
      <c r="J39" s="42"/>
      <c r="K39" s="176" t="s">
        <v>326</v>
      </c>
      <c r="L39" s="145"/>
      <c r="M39" s="145"/>
      <c r="N39" s="146"/>
      <c r="O39" s="146"/>
    </row>
    <row r="40" spans="1:15" s="7" customFormat="1" hidden="1" outlineLevel="1" x14ac:dyDescent="0.3">
      <c r="A40" s="55"/>
      <c r="B40" s="8"/>
      <c r="C40" s="8"/>
      <c r="D40" s="8"/>
      <c r="E40" s="3"/>
      <c r="F40" s="33" t="s">
        <v>223</v>
      </c>
      <c r="H40" s="3"/>
      <c r="I40" s="3"/>
      <c r="J40" s="42"/>
      <c r="K40" s="42"/>
      <c r="L40" s="145"/>
      <c r="M40" s="145"/>
      <c r="N40" s="146"/>
      <c r="O40" s="146"/>
    </row>
    <row r="41" spans="1:15" s="7" customFormat="1" hidden="1" outlineLevel="1" x14ac:dyDescent="0.3">
      <c r="A41" s="55"/>
      <c r="B41" s="8"/>
      <c r="C41" s="8"/>
      <c r="D41" s="8"/>
      <c r="E41" s="3"/>
      <c r="F41" s="3"/>
      <c r="G41" s="167" t="e">
        <f>#REF!</f>
        <v>#REF!</v>
      </c>
      <c r="I41" s="44" t="s">
        <v>312</v>
      </c>
      <c r="K41" s="120">
        <v>0</v>
      </c>
      <c r="L41" s="147"/>
      <c r="M41" s="168">
        <v>9.7216820335855533E-3</v>
      </c>
      <c r="N41" s="168">
        <v>9.4121433877799102E-3</v>
      </c>
      <c r="O41" s="168">
        <v>8.3400165880401413E-3</v>
      </c>
    </row>
    <row r="42" spans="1:15" s="7" customFormat="1" hidden="1" outlineLevel="1" x14ac:dyDescent="0.3">
      <c r="A42" s="55"/>
      <c r="B42" s="8"/>
      <c r="C42" s="8"/>
      <c r="D42" s="8"/>
      <c r="E42" s="3"/>
      <c r="F42" s="3"/>
      <c r="G42" s="167" t="e">
        <f>#REF!</f>
        <v>#REF!</v>
      </c>
      <c r="I42" s="44" t="s">
        <v>312</v>
      </c>
      <c r="K42" s="35">
        <v>0</v>
      </c>
      <c r="L42" s="147"/>
      <c r="M42" s="168">
        <v>0</v>
      </c>
      <c r="N42" s="168">
        <v>0</v>
      </c>
      <c r="O42" s="168">
        <v>0</v>
      </c>
    </row>
    <row r="43" spans="1:15" s="7" customFormat="1" hidden="1" outlineLevel="1" x14ac:dyDescent="0.3">
      <c r="A43" s="55"/>
      <c r="B43" s="8"/>
      <c r="C43" s="8"/>
      <c r="D43" s="8"/>
      <c r="E43" s="3"/>
      <c r="F43" s="3"/>
      <c r="G43" s="167" t="e">
        <f>#REF!</f>
        <v>#REF!</v>
      </c>
      <c r="I43" s="44" t="s">
        <v>89</v>
      </c>
      <c r="K43" s="120">
        <v>0</v>
      </c>
      <c r="L43" s="147"/>
      <c r="M43" s="168">
        <v>0.66993939393939395</v>
      </c>
      <c r="N43" s="168">
        <v>1.2466521739130436</v>
      </c>
      <c r="O43" s="168">
        <v>2.2246315789473683</v>
      </c>
    </row>
    <row r="44" spans="1:15" s="7" customFormat="1" hidden="1" outlineLevel="1" x14ac:dyDescent="0.3">
      <c r="A44" s="55"/>
      <c r="B44" s="8"/>
      <c r="C44" s="8"/>
      <c r="D44" s="8"/>
      <c r="E44" s="3"/>
      <c r="F44" s="3"/>
      <c r="G44" s="167" t="e">
        <f>#REF!</f>
        <v>#REF!</v>
      </c>
      <c r="I44" s="44" t="s">
        <v>208</v>
      </c>
      <c r="K44" s="120">
        <v>1</v>
      </c>
      <c r="L44" s="147"/>
      <c r="M44" s="173">
        <v>9.6733279408078303</v>
      </c>
      <c r="N44" s="173">
        <v>9.4060688006793178</v>
      </c>
      <c r="O44" s="173">
        <v>8.4359065990464579</v>
      </c>
    </row>
    <row r="45" spans="1:15" s="7" customFormat="1" hidden="1" outlineLevel="1" x14ac:dyDescent="0.3">
      <c r="A45" s="55"/>
      <c r="B45" s="8"/>
      <c r="C45" s="8"/>
      <c r="D45" s="8"/>
      <c r="E45" s="3"/>
      <c r="F45" s="169" t="e">
        <f>#REF!</f>
        <v>#REF!</v>
      </c>
      <c r="I45" s="164"/>
      <c r="J45" s="164"/>
      <c r="K45" s="164"/>
      <c r="L45" s="145"/>
      <c r="M45" s="175"/>
      <c r="N45" s="175"/>
      <c r="O45" s="175"/>
    </row>
    <row r="46" spans="1:15" s="7" customFormat="1" hidden="1" outlineLevel="1" x14ac:dyDescent="0.3">
      <c r="A46" s="55"/>
      <c r="B46" s="8"/>
      <c r="C46" s="8"/>
      <c r="D46" s="8"/>
      <c r="E46" s="3"/>
      <c r="F46" s="3"/>
      <c r="G46" s="167" t="e">
        <f>#REF!</f>
        <v>#REF!</v>
      </c>
      <c r="I46" s="44" t="s">
        <v>312</v>
      </c>
      <c r="K46" s="35">
        <v>0</v>
      </c>
      <c r="L46" s="147"/>
      <c r="M46" s="174">
        <v>1.0113336210617175E-2</v>
      </c>
      <c r="N46" s="174">
        <v>9.8704411704064136E-3</v>
      </c>
      <c r="O46" s="174">
        <v>8.0251088310558313E-3</v>
      </c>
    </row>
    <row r="47" spans="1:15" s="7" customFormat="1" hidden="1" outlineLevel="1" x14ac:dyDescent="0.3">
      <c r="A47" s="55"/>
      <c r="B47" s="8"/>
      <c r="C47" s="8"/>
      <c r="D47" s="8"/>
      <c r="E47" s="3"/>
      <c r="F47" s="3"/>
      <c r="G47" s="167" t="e">
        <f>#REF!</f>
        <v>#REF!</v>
      </c>
      <c r="I47" s="44" t="s">
        <v>312</v>
      </c>
      <c r="K47" s="35">
        <v>0</v>
      </c>
      <c r="L47" s="147"/>
      <c r="M47" s="168">
        <v>0</v>
      </c>
      <c r="N47" s="168">
        <v>0</v>
      </c>
      <c r="O47" s="168">
        <v>0</v>
      </c>
    </row>
    <row r="48" spans="1:15" s="7" customFormat="1" hidden="1" outlineLevel="1" x14ac:dyDescent="0.3">
      <c r="A48" s="55"/>
      <c r="B48" s="8"/>
      <c r="C48" s="8"/>
      <c r="D48" s="8"/>
      <c r="E48" s="3"/>
      <c r="F48" s="3"/>
      <c r="G48" s="167" t="e">
        <f>#REF!</f>
        <v>#REF!</v>
      </c>
      <c r="I48" s="44" t="s">
        <v>89</v>
      </c>
      <c r="K48" s="35">
        <v>0</v>
      </c>
      <c r="L48" s="147"/>
      <c r="M48" s="168">
        <v>0.64157142857142857</v>
      </c>
      <c r="N48" s="168">
        <v>1.2934444444444446</v>
      </c>
      <c r="O48" s="168">
        <v>2.0900909090909092</v>
      </c>
    </row>
    <row r="49" spans="1:19" s="7" customFormat="1" hidden="1" outlineLevel="1" x14ac:dyDescent="0.3">
      <c r="A49" s="55"/>
      <c r="B49" s="8"/>
      <c r="C49" s="8"/>
      <c r="D49" s="8"/>
      <c r="E49" s="3"/>
      <c r="F49" s="3"/>
      <c r="G49" s="167" t="e">
        <f>#REF!</f>
        <v>#REF!</v>
      </c>
      <c r="I49" s="44" t="s">
        <v>208</v>
      </c>
      <c r="K49" s="35">
        <v>1</v>
      </c>
      <c r="L49" s="147"/>
      <c r="M49" s="168">
        <v>10.302273192156534</v>
      </c>
      <c r="N49" s="168">
        <v>9.160223217498114</v>
      </c>
      <c r="O49" s="168">
        <v>8.2369155543103929</v>
      </c>
    </row>
    <row r="50" spans="1:19" s="7" customFormat="1" hidden="1" outlineLevel="1" x14ac:dyDescent="0.3">
      <c r="A50" s="55"/>
      <c r="B50" s="8"/>
      <c r="C50" s="8"/>
      <c r="D50" s="8"/>
      <c r="E50" s="3"/>
      <c r="F50" s="3"/>
      <c r="G50" s="3"/>
      <c r="H50" s="3"/>
      <c r="I50" s="3"/>
      <c r="J50" s="42"/>
      <c r="K50" s="42"/>
      <c r="L50" s="145"/>
      <c r="M50" s="145"/>
      <c r="N50" s="146"/>
      <c r="O50" s="146"/>
    </row>
    <row r="51" spans="1:19" s="7" customFormat="1" outlineLevel="1" x14ac:dyDescent="0.3">
      <c r="A51" s="55"/>
      <c r="B51" s="8"/>
      <c r="C51" s="8"/>
      <c r="D51" s="8"/>
      <c r="E51" s="3" t="s">
        <v>199</v>
      </c>
      <c r="F51" s="3"/>
      <c r="G51" s="3"/>
      <c r="H51" s="3"/>
      <c r="I51" s="3"/>
      <c r="J51" s="42"/>
      <c r="K51" s="42"/>
      <c r="L51" s="145"/>
      <c r="M51" s="145"/>
      <c r="N51" s="146"/>
      <c r="O51" s="146"/>
    </row>
    <row r="52" spans="1:19" s="7" customFormat="1" outlineLevel="1" x14ac:dyDescent="0.3">
      <c r="A52" s="55"/>
      <c r="B52" s="8"/>
      <c r="C52" s="8"/>
      <c r="D52" s="8"/>
      <c r="E52" s="3"/>
      <c r="F52" s="3"/>
      <c r="G52" s="228" t="s">
        <v>200</v>
      </c>
      <c r="H52" s="3"/>
      <c r="I52" s="3"/>
      <c r="J52" s="42"/>
      <c r="K52" s="229">
        <f>Cockpit!I40</f>
        <v>0</v>
      </c>
      <c r="L52" s="147"/>
      <c r="M52" s="147"/>
      <c r="N52" s="190"/>
      <c r="O52" s="190"/>
    </row>
    <row r="53" spans="1:19" s="7" customFormat="1" outlineLevel="1" x14ac:dyDescent="0.3">
      <c r="A53" s="55"/>
      <c r="B53" s="8"/>
      <c r="C53" s="8"/>
      <c r="D53" s="8"/>
      <c r="E53" s="3"/>
      <c r="F53" s="3"/>
      <c r="G53" s="228" t="s">
        <v>327</v>
      </c>
      <c r="H53" s="3"/>
      <c r="I53" s="3"/>
      <c r="J53" s="42"/>
      <c r="K53" s="149">
        <f>Cockpit!I41</f>
        <v>0</v>
      </c>
      <c r="L53" s="147"/>
      <c r="M53" s="147"/>
      <c r="N53" s="190"/>
      <c r="O53" s="190"/>
    </row>
    <row r="54" spans="1:19" s="7" customFormat="1" outlineLevel="1" x14ac:dyDescent="0.3">
      <c r="A54" s="55"/>
      <c r="B54" s="8"/>
      <c r="C54" s="8"/>
      <c r="D54" s="8"/>
      <c r="E54" s="3"/>
      <c r="F54" s="3"/>
      <c r="G54" s="228" t="s">
        <v>203</v>
      </c>
      <c r="H54" s="3"/>
      <c r="I54" s="3"/>
      <c r="J54" s="42"/>
      <c r="K54" s="149">
        <f>Cockpit!I43</f>
        <v>1</v>
      </c>
      <c r="L54" s="147"/>
      <c r="M54" s="147"/>
      <c r="N54" s="190"/>
      <c r="O54" s="190"/>
    </row>
    <row r="55" spans="1:19" s="7" customFormat="1" outlineLevel="1" x14ac:dyDescent="0.3">
      <c r="A55" s="55"/>
      <c r="B55" s="8"/>
      <c r="C55" s="8"/>
      <c r="D55" s="8"/>
      <c r="E55" s="3"/>
      <c r="F55" s="3"/>
      <c r="G55" s="228" t="s">
        <v>205</v>
      </c>
      <c r="H55" s="3"/>
      <c r="I55" s="3"/>
      <c r="J55" s="42"/>
      <c r="K55" s="149">
        <f>Cockpit!I44</f>
        <v>0.08</v>
      </c>
      <c r="L55" s="147"/>
      <c r="M55" s="147"/>
      <c r="N55" s="190"/>
      <c r="O55" s="190"/>
    </row>
    <row r="56" spans="1:19" s="7" customFormat="1" outlineLevel="1" x14ac:dyDescent="0.3">
      <c r="A56" s="55"/>
      <c r="B56" s="8"/>
      <c r="C56" s="8"/>
      <c r="D56" s="8"/>
      <c r="E56" s="3"/>
      <c r="F56" s="3"/>
      <c r="G56" s="3"/>
      <c r="H56" s="3"/>
      <c r="I56" s="3"/>
      <c r="J56" s="42"/>
      <c r="K56" s="42"/>
      <c r="L56" s="145"/>
      <c r="M56" s="145"/>
      <c r="N56" s="146"/>
      <c r="O56" s="146"/>
    </row>
    <row r="57" spans="1:19" x14ac:dyDescent="0.3">
      <c r="B57" s="15" t="s">
        <v>306</v>
      </c>
      <c r="C57" s="15"/>
      <c r="D57" s="15"/>
      <c r="E57" s="15"/>
      <c r="F57" s="15"/>
      <c r="G57" s="15"/>
      <c r="H57" s="15"/>
      <c r="I57" s="15"/>
      <c r="J57" s="15"/>
      <c r="K57" s="15"/>
      <c r="L57" s="144"/>
      <c r="M57" s="144"/>
      <c r="N57" s="144"/>
      <c r="O57" s="144"/>
      <c r="P57" s="15"/>
      <c r="Q57" s="15"/>
      <c r="R57" s="15"/>
      <c r="S57" s="15"/>
    </row>
    <row r="58" spans="1:19" x14ac:dyDescent="0.3">
      <c r="I58" s="3"/>
      <c r="J58" s="44"/>
      <c r="K58" s="44"/>
      <c r="L58" s="145"/>
      <c r="M58" s="145"/>
      <c r="N58" s="145"/>
      <c r="O58" s="145"/>
      <c r="P58" s="3"/>
      <c r="Q58" s="3"/>
    </row>
    <row r="59" spans="1:19" x14ac:dyDescent="0.3">
      <c r="E59" s="32" t="s">
        <v>186</v>
      </c>
      <c r="I59" s="3"/>
      <c r="J59" s="44"/>
      <c r="K59" s="44"/>
      <c r="L59" s="145"/>
      <c r="M59" s="145"/>
      <c r="N59" s="145"/>
      <c r="O59" s="145"/>
      <c r="P59" s="3"/>
      <c r="Q59" s="3"/>
    </row>
    <row r="60" spans="1:19" x14ac:dyDescent="0.3">
      <c r="G60" s="8" t="s">
        <v>298</v>
      </c>
      <c r="I60" s="42" t="s">
        <v>89</v>
      </c>
      <c r="J60" s="42"/>
      <c r="K60" s="42"/>
      <c r="L60" s="139">
        <f>L35</f>
        <v>0</v>
      </c>
      <c r="M60" s="121">
        <f>IF($K41=1,M41*M28+M42,M43)</f>
        <v>0.66993939393939395</v>
      </c>
      <c r="N60" s="121">
        <f>IF($K41=1,N41*N28+N42,N43)</f>
        <v>1.2466521739130436</v>
      </c>
      <c r="O60" s="121">
        <f>IF($K41=1,O41*O28+O42,O43)</f>
        <v>2.2246315789473683</v>
      </c>
      <c r="P60" s="3"/>
      <c r="Q60" s="3"/>
    </row>
    <row r="61" spans="1:19" x14ac:dyDescent="0.3">
      <c r="G61" s="8" t="s">
        <v>301</v>
      </c>
      <c r="I61" s="42" t="s">
        <v>89</v>
      </c>
      <c r="L61" s="139">
        <f>L36</f>
        <v>0</v>
      </c>
      <c r="M61" s="121">
        <f>IF($K46=1,M46*M28+M47,M48)</f>
        <v>0.64157142857142857</v>
      </c>
      <c r="N61" s="121">
        <f>IF($K46=1,N46*N28+N47,N48)</f>
        <v>1.2934444444444446</v>
      </c>
      <c r="O61" s="121">
        <f>IF($K46=1,O46*O28+O47,O48)</f>
        <v>2.0900909090909092</v>
      </c>
      <c r="P61" s="3"/>
      <c r="Q61" s="3"/>
    </row>
    <row r="62" spans="1:19" x14ac:dyDescent="0.3">
      <c r="I62" s="3"/>
      <c r="J62" s="44"/>
      <c r="K62" s="44"/>
      <c r="L62" s="145"/>
      <c r="M62" s="145"/>
      <c r="N62" s="145"/>
      <c r="O62" s="145"/>
      <c r="P62" s="3"/>
      <c r="Q62" s="3"/>
    </row>
    <row r="63" spans="1:19" x14ac:dyDescent="0.3">
      <c r="I63" s="3"/>
      <c r="J63" s="44"/>
      <c r="K63" s="44"/>
      <c r="L63" s="145"/>
      <c r="M63" s="145"/>
      <c r="N63" s="145"/>
      <c r="O63" s="145"/>
      <c r="P63" s="3"/>
      <c r="Q63" s="3"/>
    </row>
    <row r="64" spans="1:19" x14ac:dyDescent="0.3">
      <c r="C64" s="3"/>
      <c r="D64" s="3"/>
      <c r="E64" s="32" t="s">
        <v>304</v>
      </c>
      <c r="G64" s="3"/>
      <c r="H64" s="3"/>
      <c r="I64" s="42"/>
      <c r="J64" s="8"/>
      <c r="K64" s="8"/>
      <c r="L64" s="136"/>
      <c r="M64" s="136"/>
      <c r="N64" s="136"/>
      <c r="O64" s="136"/>
      <c r="P64" s="46"/>
    </row>
    <row r="65" spans="3:16" x14ac:dyDescent="0.3">
      <c r="C65" s="3"/>
      <c r="D65" s="3"/>
      <c r="F65" s="26" t="s">
        <v>328</v>
      </c>
      <c r="G65" s="3"/>
      <c r="H65" s="3"/>
      <c r="I65" s="42"/>
      <c r="J65" s="8"/>
      <c r="K65" s="8"/>
      <c r="L65" s="136"/>
      <c r="M65" s="136"/>
      <c r="N65" s="136"/>
      <c r="O65" s="136"/>
      <c r="P65" s="46"/>
    </row>
    <row r="66" spans="3:16" x14ac:dyDescent="0.3">
      <c r="C66" s="3"/>
      <c r="D66" s="3"/>
      <c r="E66" s="26"/>
      <c r="F66" s="26"/>
      <c r="G66" s="8" t="s">
        <v>223</v>
      </c>
      <c r="H66" s="42" t="s">
        <v>208</v>
      </c>
      <c r="I66" s="42"/>
      <c r="J66" s="8"/>
      <c r="K66" s="8"/>
      <c r="L66" s="121" t="e">
        <f>(L60*1000/L$28)</f>
        <v>#DIV/0!</v>
      </c>
      <c r="M66" s="121">
        <f>(IF($K44=1,M44,IF($K43=1,(M60*1000)/M28,M41*1000)))</f>
        <v>9.6733279408078303</v>
      </c>
      <c r="N66" s="121">
        <f>(IF($K44=1,N44,IF($K43=1,(N60*1000)/N28,N41*1000)))</f>
        <v>9.4060688006793178</v>
      </c>
      <c r="O66" s="121">
        <f>(IF($K44=1,O44,IF($K43=1,(O60*1000)/O28,O41*1000)))</f>
        <v>8.4359065990464579</v>
      </c>
      <c r="P66" s="46"/>
    </row>
    <row r="67" spans="3:16" x14ac:dyDescent="0.3">
      <c r="C67" s="3"/>
      <c r="D67" s="3"/>
      <c r="E67" s="26"/>
      <c r="F67" s="26"/>
      <c r="G67" s="8" t="s">
        <v>305</v>
      </c>
      <c r="H67" s="42" t="s">
        <v>208</v>
      </c>
      <c r="I67" s="42"/>
      <c r="J67" s="8"/>
      <c r="K67" s="8"/>
      <c r="L67" s="121" t="e">
        <f>(L61*1000/L$28)</f>
        <v>#DIV/0!</v>
      </c>
      <c r="M67" s="121">
        <f>(IF($K49=1,M49,IF($K48=1,(M61*1000)/M28,M46*1000)))</f>
        <v>10.302273192156534</v>
      </c>
      <c r="N67" s="121">
        <f>(IF($K49=1,N49,IF($K48=1,(N61*1000)/N28,N46*1000)))</f>
        <v>9.160223217498114</v>
      </c>
      <c r="O67" s="121">
        <f>(IF($K49=1,O49,IF($K48=1,(O61*1000)/O28,O46*1000)))</f>
        <v>8.2369155543103929</v>
      </c>
      <c r="P67" s="46"/>
    </row>
    <row r="68" spans="3:16" x14ac:dyDescent="0.3">
      <c r="C68" s="3"/>
      <c r="D68" s="3"/>
      <c r="E68" s="26"/>
      <c r="F68" s="26" t="s">
        <v>329</v>
      </c>
      <c r="G68" s="3"/>
      <c r="H68" s="3"/>
      <c r="I68" s="42"/>
      <c r="J68" s="8"/>
      <c r="K68" s="8"/>
      <c r="L68" s="136"/>
      <c r="M68" s="136"/>
      <c r="N68" s="136"/>
      <c r="O68" s="136"/>
      <c r="P68" s="46"/>
    </row>
    <row r="69" spans="3:16" x14ac:dyDescent="0.3">
      <c r="C69" s="3"/>
      <c r="D69" s="3"/>
      <c r="E69" s="26"/>
      <c r="F69" s="26"/>
      <c r="G69" s="8" t="s">
        <v>223</v>
      </c>
      <c r="H69" s="42" t="s">
        <v>208</v>
      </c>
      <c r="I69" s="42"/>
      <c r="J69" s="8"/>
      <c r="K69" s="8"/>
      <c r="L69" s="193" t="e">
        <f t="shared" ref="L69:O70" si="4">IF(AND(L66&lt;L$37,L66&gt;0),L$37,L66)</f>
        <v>#DIV/0!</v>
      </c>
      <c r="M69" s="193">
        <f t="shared" si="4"/>
        <v>9.6733279408078303</v>
      </c>
      <c r="N69" s="193">
        <f t="shared" si="4"/>
        <v>9.4060688006793178</v>
      </c>
      <c r="O69" s="193">
        <f t="shared" si="4"/>
        <v>8.4359065990464579</v>
      </c>
      <c r="P69" s="46"/>
    </row>
    <row r="70" spans="3:16" x14ac:dyDescent="0.3">
      <c r="C70" s="3"/>
      <c r="D70" s="3"/>
      <c r="E70" s="26"/>
      <c r="F70" s="26"/>
      <c r="G70" s="8" t="s">
        <v>305</v>
      </c>
      <c r="H70" s="42" t="s">
        <v>208</v>
      </c>
      <c r="I70" s="42"/>
      <c r="J70" s="8"/>
      <c r="K70" s="8"/>
      <c r="L70" s="193" t="e">
        <f>IF(AND(L67&lt;L$37,L67&gt;0),L$37,L67)</f>
        <v>#DIV/0!</v>
      </c>
      <c r="M70" s="193">
        <f t="shared" si="4"/>
        <v>10.302273192156534</v>
      </c>
      <c r="N70" s="193">
        <f t="shared" si="4"/>
        <v>9.160223217498114</v>
      </c>
      <c r="O70" s="193">
        <f t="shared" si="4"/>
        <v>8.2369155543103929</v>
      </c>
      <c r="P70" s="46"/>
    </row>
    <row r="71" spans="3:16" x14ac:dyDescent="0.3">
      <c r="C71" s="3"/>
      <c r="D71" s="3"/>
      <c r="E71" s="26"/>
      <c r="F71" s="26"/>
      <c r="H71" s="42"/>
      <c r="I71" s="42"/>
      <c r="J71" s="8"/>
      <c r="K71" s="115"/>
      <c r="L71" s="194"/>
      <c r="M71" s="154"/>
      <c r="N71" s="154"/>
      <c r="O71" s="154"/>
      <c r="P71" s="46"/>
    </row>
    <row r="72" spans="3:16" x14ac:dyDescent="0.3">
      <c r="C72" s="3"/>
      <c r="D72" s="3"/>
      <c r="E72" s="26"/>
      <c r="F72" s="26"/>
      <c r="H72" s="42"/>
      <c r="I72" s="42"/>
      <c r="J72" s="8"/>
      <c r="K72" s="115"/>
      <c r="L72" s="154"/>
      <c r="M72" s="154"/>
      <c r="N72" s="154"/>
      <c r="O72" s="154"/>
      <c r="P72" s="46"/>
    </row>
    <row r="73" spans="3:16" x14ac:dyDescent="0.3">
      <c r="C73" s="26"/>
      <c r="D73" s="26"/>
      <c r="E73" s="32" t="s">
        <v>330</v>
      </c>
      <c r="H73" s="42"/>
      <c r="I73" s="42"/>
      <c r="J73" s="8"/>
      <c r="K73" s="8"/>
      <c r="L73" s="154"/>
      <c r="M73" s="154"/>
      <c r="N73" s="154"/>
      <c r="O73" s="154"/>
      <c r="P73" s="46"/>
    </row>
    <row r="74" spans="3:16" x14ac:dyDescent="0.3">
      <c r="C74" s="26"/>
      <c r="D74" s="26"/>
      <c r="E74" s="26"/>
      <c r="F74" s="26"/>
      <c r="G74" s="8" t="s">
        <v>223</v>
      </c>
      <c r="H74" s="42" t="s">
        <v>230</v>
      </c>
      <c r="I74" s="42"/>
      <c r="J74" s="8"/>
      <c r="K74" s="8"/>
      <c r="L74" s="121" t="e">
        <f t="shared" ref="L74:O75" si="5">L69*L17</f>
        <v>#DIV/0!</v>
      </c>
      <c r="M74" s="121">
        <f t="shared" si="5"/>
        <v>0.58765210434678483</v>
      </c>
      <c r="N74" s="121">
        <f t="shared" si="5"/>
        <v>0.57141618253544213</v>
      </c>
      <c r="O74" s="121">
        <f t="shared" si="5"/>
        <v>0.51247908634312089</v>
      </c>
      <c r="P74" s="46"/>
    </row>
    <row r="75" spans="3:16" x14ac:dyDescent="0.3">
      <c r="C75" s="26"/>
      <c r="D75" s="26"/>
      <c r="E75" s="26"/>
      <c r="F75" s="26"/>
      <c r="G75" s="8" t="s">
        <v>305</v>
      </c>
      <c r="I75" s="42"/>
      <c r="J75" s="8"/>
      <c r="K75" s="8"/>
      <c r="L75" s="121" t="e">
        <f t="shared" si="5"/>
        <v>#DIV/0!</v>
      </c>
      <c r="M75" s="121">
        <f t="shared" si="5"/>
        <v>10.941338635959896</v>
      </c>
      <c r="N75" s="121">
        <f t="shared" si="5"/>
        <v>9.728445590040625</v>
      </c>
      <c r="O75" s="121">
        <f t="shared" si="5"/>
        <v>8.747863768952362</v>
      </c>
      <c r="P75" s="46"/>
    </row>
    <row r="76" spans="3:16" x14ac:dyDescent="0.3">
      <c r="C76" s="3"/>
      <c r="D76" s="3"/>
      <c r="E76" s="46"/>
      <c r="F76" s="46"/>
      <c r="G76" s="194"/>
      <c r="I76" s="42"/>
      <c r="J76" s="8"/>
      <c r="K76" s="8"/>
      <c r="L76" s="145"/>
      <c r="M76" s="145"/>
      <c r="N76" s="136"/>
      <c r="O76" s="136"/>
      <c r="P76" s="46"/>
    </row>
    <row r="77" spans="3:16" x14ac:dyDescent="0.3">
      <c r="C77" s="3"/>
      <c r="D77" s="3"/>
      <c r="E77" s="125" t="str">
        <f>G19</f>
        <v>Leakage management</v>
      </c>
      <c r="F77" s="125"/>
      <c r="H77" s="42" t="s">
        <v>230</v>
      </c>
      <c r="I77" s="42"/>
      <c r="J77" s="8"/>
      <c r="K77" s="8"/>
      <c r="L77" s="121" t="e">
        <f>L19*L69</f>
        <v>#DIV/0!</v>
      </c>
      <c r="M77" s="121">
        <f>M19*M69</f>
        <v>11.545722401967597</v>
      </c>
      <c r="N77" s="121">
        <f>N19*N69</f>
        <v>11.226731889065096</v>
      </c>
      <c r="O77" s="121">
        <f>O19*O69</f>
        <v>10.068782573847393</v>
      </c>
      <c r="P77" s="46"/>
    </row>
    <row r="78" spans="3:16" x14ac:dyDescent="0.3">
      <c r="C78" s="3"/>
      <c r="D78" s="3"/>
      <c r="E78" s="84"/>
      <c r="F78" s="84"/>
      <c r="G78" s="83"/>
      <c r="H78" s="109"/>
      <c r="I78" s="109"/>
      <c r="J78" s="8"/>
      <c r="K78" s="8"/>
      <c r="L78" s="150"/>
      <c r="M78" s="150"/>
      <c r="N78" s="136"/>
      <c r="O78" s="136"/>
      <c r="P78" s="46"/>
    </row>
    <row r="79" spans="3:16" x14ac:dyDescent="0.3">
      <c r="C79" s="26"/>
      <c r="D79" s="26"/>
      <c r="E79" s="32" t="s">
        <v>331</v>
      </c>
      <c r="H79" s="42"/>
      <c r="I79" s="42"/>
      <c r="J79" s="8"/>
      <c r="K79" s="8"/>
      <c r="L79" s="150"/>
      <c r="M79" s="150"/>
      <c r="N79" s="136"/>
      <c r="O79" s="136"/>
      <c r="P79" s="46"/>
    </row>
    <row r="80" spans="3:16" x14ac:dyDescent="0.3">
      <c r="C80" s="26"/>
      <c r="D80" s="26"/>
      <c r="E80" s="26"/>
      <c r="F80" s="26"/>
      <c r="G80" s="8" t="s">
        <v>223</v>
      </c>
      <c r="H80" s="42" t="s">
        <v>230</v>
      </c>
      <c r="I80" s="42"/>
      <c r="J80" s="8"/>
      <c r="K80" s="8"/>
      <c r="L80" s="121" t="e">
        <f>SUM(L15:L16,L74,L77)*L22</f>
        <v>#DIV/0!</v>
      </c>
      <c r="M80" s="121">
        <f>SUM(M15:M16,M74,M77)*M22</f>
        <v>1.9606808261121833</v>
      </c>
      <c r="N80" s="121">
        <f>SUM(N15:N16,N74,N77)*N22</f>
        <v>1.9134378055925705</v>
      </c>
      <c r="O80" s="121">
        <f>SUM(O15:O16,O74,O77)*O22</f>
        <v>1.7419436042078971</v>
      </c>
      <c r="P80" s="46"/>
    </row>
    <row r="81" spans="2:19" x14ac:dyDescent="0.3">
      <c r="C81" s="26"/>
      <c r="D81" s="26"/>
      <c r="E81" s="26"/>
      <c r="F81" s="26"/>
      <c r="G81" s="8" t="s">
        <v>305</v>
      </c>
      <c r="I81" s="42"/>
      <c r="J81" s="8"/>
      <c r="K81" s="8"/>
      <c r="L81" s="121" t="e">
        <f>L75*L23</f>
        <v>#DIV/0!</v>
      </c>
      <c r="M81" s="121">
        <f>M75*M23</f>
        <v>2.0369442925630636</v>
      </c>
      <c r="N81" s="121">
        <f>N75*N23</f>
        <v>1.8111405175793693</v>
      </c>
      <c r="O81" s="121">
        <f>O75*O23</f>
        <v>1.6285860230779203</v>
      </c>
      <c r="P81" s="46"/>
    </row>
    <row r="82" spans="2:19" x14ac:dyDescent="0.3">
      <c r="C82" s="3"/>
      <c r="D82" s="3"/>
      <c r="E82" s="46"/>
      <c r="F82" s="46"/>
      <c r="G82" s="194"/>
      <c r="I82" s="42"/>
      <c r="J82" s="8"/>
      <c r="K82" s="8"/>
      <c r="L82" s="145"/>
      <c r="M82" s="145"/>
      <c r="N82" s="136"/>
      <c r="O82" s="136"/>
      <c r="P82" s="46"/>
    </row>
    <row r="83" spans="2:19" x14ac:dyDescent="0.3">
      <c r="C83" s="3"/>
      <c r="D83" s="3"/>
      <c r="E83" s="160" t="s">
        <v>332</v>
      </c>
      <c r="F83" s="46"/>
      <c r="G83" s="194"/>
      <c r="I83" s="42"/>
      <c r="J83" s="8"/>
      <c r="K83" s="8"/>
      <c r="L83" s="145"/>
      <c r="M83" s="145"/>
      <c r="N83" s="136"/>
      <c r="O83" s="136"/>
      <c r="P83" s="46"/>
    </row>
    <row r="84" spans="2:19" x14ac:dyDescent="0.3">
      <c r="C84" s="3"/>
      <c r="D84" s="3"/>
      <c r="E84" s="46"/>
      <c r="F84" s="46"/>
      <c r="G84" s="194" t="s">
        <v>333</v>
      </c>
      <c r="H84" s="44" t="s">
        <v>334</v>
      </c>
      <c r="I84" s="42"/>
      <c r="J84" s="8"/>
      <c r="K84" s="8"/>
      <c r="L84" s="131" t="str">
        <f>IF($K$52=1,IF(L60=0,L61*$K$54*10^3,L60*$K$54*10^3),"n.a.")</f>
        <v>n.a.</v>
      </c>
      <c r="M84" s="131" t="str">
        <f t="shared" ref="M84:O84" si="6">IF($K$52=1,IF(M60=0,M61*$K$54*10^3,M60*$K$54*10^3),"n.a.")</f>
        <v>n.a.</v>
      </c>
      <c r="N84" s="131" t="str">
        <f t="shared" si="6"/>
        <v>n.a.</v>
      </c>
      <c r="O84" s="131" t="str">
        <f t="shared" si="6"/>
        <v>n.a.</v>
      </c>
      <c r="P84" s="46"/>
    </row>
    <row r="85" spans="2:19" x14ac:dyDescent="0.3">
      <c r="C85" s="3"/>
      <c r="D85" s="3"/>
      <c r="E85" s="46"/>
      <c r="F85" s="46"/>
      <c r="G85" s="194" t="s">
        <v>335</v>
      </c>
      <c r="H85" s="44" t="s">
        <v>334</v>
      </c>
      <c r="I85" s="42"/>
      <c r="J85" s="8"/>
      <c r="K85" s="8"/>
      <c r="L85" s="131" t="str">
        <f>IFERROR(L84+L31*L26+L27*L32,"n.a.")</f>
        <v>n.a.</v>
      </c>
      <c r="M85" s="131" t="str">
        <f>IFERROR(M84+M31*M26+M27*M32,"n.a.")</f>
        <v>n.a.</v>
      </c>
      <c r="N85" s="131" t="str">
        <f>IFERROR(N84+N31*N26+N27*N32,"n.a.")</f>
        <v>n.a.</v>
      </c>
      <c r="O85" s="131" t="str">
        <f>IFERROR(O84+O31*O26+O27*O32,"n.a.")</f>
        <v>n.a.</v>
      </c>
      <c r="P85" s="46"/>
    </row>
    <row r="86" spans="2:19" x14ac:dyDescent="0.3">
      <c r="C86" s="3"/>
      <c r="D86" s="3"/>
      <c r="E86" s="46"/>
      <c r="F86" s="46"/>
      <c r="G86" s="194" t="s">
        <v>332</v>
      </c>
      <c r="H86" s="8" t="s">
        <v>198</v>
      </c>
      <c r="I86" s="42"/>
      <c r="J86" s="8"/>
      <c r="K86" s="8"/>
      <c r="L86" s="185">
        <f>IF($K$52=0,$K$53,IF(L84/L85&gt;$K$55,$K$55,L84/L85))</f>
        <v>0</v>
      </c>
      <c r="M86" s="185">
        <f t="shared" ref="M86:O86" si="7">IF($K$52=0,$K$53,IF(M84/M85&gt;$K$55,$K$55,M84/M85))</f>
        <v>0</v>
      </c>
      <c r="N86" s="185">
        <f t="shared" si="7"/>
        <v>0</v>
      </c>
      <c r="O86" s="185">
        <f t="shared" si="7"/>
        <v>0</v>
      </c>
      <c r="P86" s="46"/>
    </row>
    <row r="87" spans="2:19" x14ac:dyDescent="0.3">
      <c r="C87" s="3"/>
      <c r="D87" s="3"/>
      <c r="E87" s="46"/>
      <c r="F87" s="46"/>
      <c r="G87" s="194"/>
      <c r="I87" s="42"/>
      <c r="J87" s="8"/>
      <c r="K87" s="8"/>
      <c r="L87" s="145"/>
      <c r="M87" s="145"/>
      <c r="N87" s="136"/>
      <c r="O87" s="136"/>
      <c r="P87" s="46"/>
    </row>
    <row r="88" spans="2:19" x14ac:dyDescent="0.3">
      <c r="C88" s="3"/>
      <c r="D88" s="3"/>
      <c r="E88" s="46"/>
      <c r="F88" s="46"/>
      <c r="G88" s="194"/>
      <c r="I88" s="42"/>
      <c r="J88" s="8"/>
      <c r="K88" s="8"/>
      <c r="L88" s="145"/>
      <c r="M88" s="145"/>
      <c r="N88" s="136"/>
      <c r="O88" s="136"/>
      <c r="P88" s="46"/>
    </row>
    <row r="89" spans="2:19" x14ac:dyDescent="0.3">
      <c r="B89" s="15" t="s">
        <v>56</v>
      </c>
      <c r="C89" s="15"/>
      <c r="D89" s="15"/>
      <c r="E89" s="15"/>
      <c r="F89" s="15"/>
      <c r="G89" s="15"/>
      <c r="H89" s="15"/>
      <c r="I89" s="15"/>
      <c r="J89" s="15"/>
      <c r="K89" s="15"/>
      <c r="L89" s="144"/>
      <c r="M89" s="144"/>
      <c r="N89" s="144"/>
      <c r="O89" s="144"/>
      <c r="P89" s="15"/>
      <c r="Q89" s="15"/>
      <c r="R89" s="15"/>
      <c r="S89" s="15"/>
    </row>
    <row r="90" spans="2:19" x14ac:dyDescent="0.3">
      <c r="I90" s="3"/>
      <c r="J90" s="44"/>
      <c r="K90" s="44"/>
      <c r="L90" s="145"/>
      <c r="M90" s="145"/>
      <c r="N90" s="145"/>
      <c r="O90" s="145"/>
      <c r="P90" s="3"/>
      <c r="Q90" s="3"/>
    </row>
    <row r="91" spans="2:19" x14ac:dyDescent="0.3">
      <c r="C91" s="3"/>
      <c r="D91" s="3"/>
      <c r="E91" s="32" t="s">
        <v>223</v>
      </c>
      <c r="G91" s="3"/>
      <c r="H91" s="3"/>
      <c r="I91" s="42"/>
      <c r="J91" s="8"/>
      <c r="K91" s="8"/>
      <c r="L91" s="136"/>
      <c r="M91" s="136"/>
      <c r="N91" s="136"/>
      <c r="O91" s="136"/>
      <c r="P91" s="46"/>
    </row>
    <row r="92" spans="2:19" x14ac:dyDescent="0.3">
      <c r="C92" s="3"/>
      <c r="D92" s="3"/>
      <c r="E92" s="26"/>
      <c r="F92" s="26"/>
      <c r="G92" s="8" t="str">
        <f>G15</f>
        <v>Scientific services</v>
      </c>
      <c r="H92" s="42" t="s">
        <v>230</v>
      </c>
      <c r="I92" s="42"/>
      <c r="J92" s="8"/>
      <c r="K92" s="8"/>
      <c r="L92" s="151">
        <f>$K$15</f>
        <v>1.425347210076799</v>
      </c>
      <c r="M92" s="151">
        <f>$K$15</f>
        <v>1.425347210076799</v>
      </c>
      <c r="N92" s="151">
        <f>$K$15</f>
        <v>1.425347210076799</v>
      </c>
      <c r="O92" s="151">
        <f>$K$15</f>
        <v>1.425347210076799</v>
      </c>
      <c r="P92" s="46"/>
    </row>
    <row r="93" spans="2:19" x14ac:dyDescent="0.3">
      <c r="C93" s="3"/>
      <c r="D93" s="3"/>
      <c r="E93" s="26"/>
      <c r="F93" s="26"/>
      <c r="G93" s="8" t="str">
        <f>G16</f>
        <v>Emergency response</v>
      </c>
      <c r="H93" s="42" t="s">
        <v>230</v>
      </c>
      <c r="I93" s="42"/>
      <c r="J93" s="8"/>
      <c r="K93" s="8"/>
      <c r="L93" s="151">
        <f>$K$16</f>
        <v>0.35385279133983155</v>
      </c>
      <c r="M93" s="151">
        <f>$K$16</f>
        <v>0.35385279133983155</v>
      </c>
      <c r="N93" s="151">
        <f>$K$16</f>
        <v>0.35385279133983155</v>
      </c>
      <c r="O93" s="151">
        <f>$K$16</f>
        <v>0.35385279133983155</v>
      </c>
      <c r="P93" s="46"/>
    </row>
    <row r="94" spans="2:19" x14ac:dyDescent="0.3">
      <c r="C94" s="3"/>
      <c r="D94" s="3"/>
      <c r="E94" s="26"/>
      <c r="F94" s="26"/>
      <c r="G94" s="8" t="str">
        <f>G17</f>
        <v>Water Operational costs</v>
      </c>
      <c r="H94" s="42" t="s">
        <v>230</v>
      </c>
      <c r="I94" s="42"/>
      <c r="J94" s="8"/>
      <c r="K94" s="8"/>
      <c r="L94" s="151" t="e">
        <f>L74</f>
        <v>#DIV/0!</v>
      </c>
      <c r="M94" s="151">
        <f>M74</f>
        <v>0.58765210434678483</v>
      </c>
      <c r="N94" s="151">
        <f>N74</f>
        <v>0.57141618253544213</v>
      </c>
      <c r="O94" s="151">
        <f>O74</f>
        <v>0.51247908634312089</v>
      </c>
      <c r="P94" s="46"/>
    </row>
    <row r="95" spans="2:19" x14ac:dyDescent="0.3">
      <c r="C95" s="26"/>
      <c r="D95" s="26"/>
      <c r="E95" s="26"/>
      <c r="F95" s="26"/>
      <c r="G95" s="8" t="str">
        <f>G19</f>
        <v>Leakage management</v>
      </c>
      <c r="H95" s="42" t="s">
        <v>230</v>
      </c>
      <c r="I95" s="42"/>
      <c r="J95" s="8"/>
      <c r="K95" s="8"/>
      <c r="L95" s="151" t="e">
        <f>L$77</f>
        <v>#DIV/0!</v>
      </c>
      <c r="M95" s="151">
        <f>M$77</f>
        <v>11.545722401967597</v>
      </c>
      <c r="N95" s="151">
        <f>N$77</f>
        <v>11.226731889065096</v>
      </c>
      <c r="O95" s="151">
        <f>O$77</f>
        <v>10.068782573847393</v>
      </c>
      <c r="P95" s="46"/>
    </row>
    <row r="96" spans="2:19" x14ac:dyDescent="0.3">
      <c r="C96" s="26"/>
      <c r="D96" s="26"/>
      <c r="E96" s="26"/>
      <c r="F96" s="26"/>
      <c r="G96" s="8" t="str">
        <f>E21</f>
        <v>Business overheads</v>
      </c>
      <c r="H96" s="42" t="s">
        <v>230</v>
      </c>
      <c r="I96" s="42"/>
      <c r="J96" s="8"/>
      <c r="K96" s="8"/>
      <c r="L96" s="151" t="e">
        <f>L80</f>
        <v>#DIV/0!</v>
      </c>
      <c r="M96" s="151">
        <f>M80</f>
        <v>1.9606808261121833</v>
      </c>
      <c r="N96" s="151">
        <f>N80</f>
        <v>1.9134378055925705</v>
      </c>
      <c r="O96" s="151">
        <f>O80</f>
        <v>1.7419436042078971</v>
      </c>
      <c r="P96" s="46"/>
    </row>
    <row r="97" spans="1:19" x14ac:dyDescent="0.3">
      <c r="C97" s="26"/>
      <c r="D97" s="26"/>
      <c r="E97" s="26"/>
      <c r="F97" s="26"/>
      <c r="G97" s="29" t="s">
        <v>313</v>
      </c>
      <c r="H97" s="52" t="s">
        <v>230</v>
      </c>
      <c r="I97" s="52"/>
      <c r="J97" s="29"/>
      <c r="K97" s="29"/>
      <c r="L97" s="152" t="e">
        <f>SUM(L92:L96)</f>
        <v>#DIV/0!</v>
      </c>
      <c r="M97" s="152">
        <f>SUM(M92:M96)</f>
        <v>15.873255333843195</v>
      </c>
      <c r="N97" s="152">
        <f>SUM(N92:N96)</f>
        <v>15.49078587860974</v>
      </c>
      <c r="O97" s="152">
        <f>SUM(O92:O96)</f>
        <v>14.102405265815042</v>
      </c>
      <c r="P97" s="46"/>
    </row>
    <row r="98" spans="1:19" x14ac:dyDescent="0.3"/>
    <row r="99" spans="1:19" x14ac:dyDescent="0.3">
      <c r="C99" s="3"/>
      <c r="D99" s="3"/>
      <c r="E99" s="32" t="s">
        <v>224</v>
      </c>
      <c r="G99" s="3"/>
      <c r="H99" s="3"/>
      <c r="I99" s="42"/>
      <c r="J99" s="8"/>
      <c r="K99" s="8"/>
      <c r="L99" s="136"/>
      <c r="M99" s="136"/>
      <c r="N99" s="136"/>
      <c r="O99" s="136"/>
      <c r="P99" s="46"/>
    </row>
    <row r="100" spans="1:19" x14ac:dyDescent="0.3">
      <c r="C100" s="3"/>
      <c r="D100" s="3"/>
      <c r="E100" s="26"/>
      <c r="F100" s="26"/>
      <c r="G100" s="8" t="s">
        <v>336</v>
      </c>
      <c r="H100" s="42" t="s">
        <v>230</v>
      </c>
      <c r="I100" s="42"/>
      <c r="J100" s="8"/>
      <c r="K100" s="8"/>
      <c r="L100" s="151" t="e">
        <f>L75</f>
        <v>#DIV/0!</v>
      </c>
      <c r="M100" s="151">
        <f>M75</f>
        <v>10.941338635959896</v>
      </c>
      <c r="N100" s="151">
        <f>N75</f>
        <v>9.728445590040625</v>
      </c>
      <c r="O100" s="151">
        <f>O75</f>
        <v>8.747863768952362</v>
      </c>
      <c r="P100" s="46"/>
    </row>
    <row r="101" spans="1:19" x14ac:dyDescent="0.3">
      <c r="C101" s="26"/>
      <c r="D101" s="26"/>
      <c r="E101" s="26"/>
      <c r="F101" s="26"/>
      <c r="G101" s="8" t="str">
        <f>G96</f>
        <v>Business overheads</v>
      </c>
      <c r="H101" s="42" t="s">
        <v>230</v>
      </c>
      <c r="I101" s="42"/>
      <c r="J101" s="8"/>
      <c r="K101" s="8"/>
      <c r="L101" s="151" t="e">
        <f>L81</f>
        <v>#DIV/0!</v>
      </c>
      <c r="M101" s="151">
        <f>M81</f>
        <v>2.0369442925630636</v>
      </c>
      <c r="N101" s="151">
        <f>N81</f>
        <v>1.8111405175793693</v>
      </c>
      <c r="O101" s="151">
        <f>O81</f>
        <v>1.6285860230779203</v>
      </c>
      <c r="P101" s="46"/>
    </row>
    <row r="102" spans="1:19" x14ac:dyDescent="0.3">
      <c r="C102" s="26"/>
      <c r="D102" s="26"/>
      <c r="E102" s="26"/>
      <c r="F102" s="26"/>
      <c r="G102" s="29" t="str">
        <f>G97</f>
        <v>Total</v>
      </c>
      <c r="H102" s="52" t="s">
        <v>230</v>
      </c>
      <c r="I102" s="52"/>
      <c r="J102" s="29"/>
      <c r="K102" s="29"/>
      <c r="L102" s="152" t="e">
        <f>SUM(L100:L101)</f>
        <v>#DIV/0!</v>
      </c>
      <c r="M102" s="152">
        <f>SUM(M100:M101)</f>
        <v>12.97828292852296</v>
      </c>
      <c r="N102" s="152">
        <f>SUM(N100:N101)</f>
        <v>11.539586107619995</v>
      </c>
      <c r="O102" s="152">
        <f>SUM(O100:O101)</f>
        <v>10.376449792030282</v>
      </c>
      <c r="P102" s="46"/>
    </row>
    <row r="103" spans="1:19" x14ac:dyDescent="0.3"/>
    <row r="104" spans="1:19" x14ac:dyDescent="0.3">
      <c r="E104" s="32" t="s">
        <v>199</v>
      </c>
      <c r="H104" s="8" t="s">
        <v>198</v>
      </c>
      <c r="L104" s="230">
        <f>L86</f>
        <v>0</v>
      </c>
      <c r="M104" s="230">
        <f t="shared" ref="M104:O104" si="8">M86</f>
        <v>0</v>
      </c>
      <c r="N104" s="230">
        <f t="shared" si="8"/>
        <v>0</v>
      </c>
      <c r="O104" s="230">
        <f t="shared" si="8"/>
        <v>0</v>
      </c>
    </row>
    <row r="105" spans="1:19" x14ac:dyDescent="0.3"/>
    <row r="106" spans="1:19" customFormat="1" x14ac:dyDescent="0.3">
      <c r="A106" s="15"/>
      <c r="B106" s="15" t="s">
        <v>76</v>
      </c>
      <c r="C106" s="15"/>
      <c r="D106" s="15"/>
      <c r="E106" s="15"/>
      <c r="F106" s="15"/>
      <c r="G106" s="15"/>
      <c r="H106" s="15"/>
      <c r="I106" s="15"/>
      <c r="J106" s="37"/>
      <c r="K106" s="37"/>
      <c r="L106" s="144"/>
      <c r="M106" s="144"/>
      <c r="N106" s="144"/>
      <c r="O106" s="144"/>
      <c r="P106" s="144"/>
      <c r="Q106" s="144"/>
      <c r="R106" s="144"/>
      <c r="S106" s="144"/>
    </row>
  </sheetData>
  <sheetProtection algorithmName="SHA-512" hashValue="0n649lRkcabJgqupy0y1CMKfkhwax8fdz9yBa18Gea3N8UJTdK4kmCjtigECJom586arbGr64CGyEDeX7CAH8A==" saltValue="LubT17SySR6juzZoS7N93w==" spinCount="100000" sheet="1" objects="1" scenarios="1" selectLockedCells="1" selectUnlockedCells="1"/>
  <mergeCells count="1">
    <mergeCell ref="G6:M9"/>
  </mergeCells>
  <hyperlinks>
    <hyperlink ref="A3" location="Intro!A1" display="Return to Intro tab" xr:uid="{A9E70470-2802-4997-B2E5-E9700311C097}"/>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3A4742-E047-4B75-B482-F49DA33E3B17}">
  <sheetPr>
    <tabColor rgb="FF6D65A0"/>
  </sheetPr>
  <dimension ref="A1:AB83"/>
  <sheetViews>
    <sheetView showGridLines="0" topLeftCell="A45" zoomScale="90" zoomScaleNormal="90" workbookViewId="0">
      <selection activeCell="K82" sqref="K82"/>
    </sheetView>
  </sheetViews>
  <sheetFormatPr defaultColWidth="0" defaultRowHeight="13" zeroHeight="1" outlineLevelRow="1" x14ac:dyDescent="0.3"/>
  <cols>
    <col min="1" max="3" width="2.453125" style="8" customWidth="1"/>
    <col min="4" max="4" width="2.453125" style="32" customWidth="1"/>
    <col min="5" max="5" width="2.453125" style="26" customWidth="1"/>
    <col min="6" max="6" width="30.453125" style="8" customWidth="1"/>
    <col min="7" max="7" width="2.54296875" style="8" customWidth="1"/>
    <col min="8" max="8" width="11.453125" style="8" bestFit="1" customWidth="1"/>
    <col min="9" max="9" width="2.54296875" style="41" customWidth="1"/>
    <col min="10" max="10" width="12.453125" style="8" bestFit="1" customWidth="1"/>
    <col min="11" max="11" width="12.54296875" style="8" bestFit="1" customWidth="1"/>
    <col min="12" max="12" width="4.453125" style="55" customWidth="1"/>
    <col min="13" max="13" width="2.54296875" style="8" hidden="1" customWidth="1"/>
    <col min="14" max="14" width="36.54296875" style="8" hidden="1" customWidth="1"/>
    <col min="15" max="15" width="2.54296875" style="8" hidden="1" customWidth="1"/>
    <col min="16" max="16" width="6.54296875" style="8" hidden="1" customWidth="1"/>
    <col min="17" max="17" width="2.54296875" style="8" hidden="1" customWidth="1"/>
    <col min="18" max="18" width="9.54296875" style="8" hidden="1" customWidth="1"/>
    <col min="19" max="19" width="7.453125" hidden="1" customWidth="1"/>
    <col min="20" max="27" width="8.54296875" style="8" hidden="1" customWidth="1"/>
    <col min="28" max="28" width="0" style="8" hidden="1" customWidth="1"/>
    <col min="29" max="16384" width="8.54296875" style="8" hidden="1"/>
  </cols>
  <sheetData>
    <row r="1" spans="1:20" s="13" customFormat="1" ht="17.5" x14ac:dyDescent="0.3">
      <c r="A1" s="11" t="str" cm="1">
        <f t="array" aca="1" ref="A1" ca="1">RIGHT(CELL("filename",A$2),LEN(CELL("filename",A$2))-FIND("]",CELL("filename",A$2)))</f>
        <v>Relevant starting point</v>
      </c>
      <c r="B1" s="11"/>
      <c r="C1" s="11"/>
      <c r="D1" s="11"/>
      <c r="E1" s="11"/>
      <c r="F1" s="11"/>
      <c r="G1" s="11"/>
      <c r="H1" s="11"/>
      <c r="I1" s="37"/>
      <c r="J1" s="11"/>
      <c r="K1" s="11"/>
      <c r="L1" s="11"/>
      <c r="M1" s="11"/>
      <c r="N1" s="11"/>
      <c r="O1" s="11"/>
    </row>
    <row r="2" spans="1:20" s="1" customFormat="1" x14ac:dyDescent="0.3">
      <c r="A2" s="14"/>
      <c r="B2" s="14"/>
      <c r="C2" s="14"/>
      <c r="D2" s="14"/>
      <c r="E2" s="14"/>
      <c r="F2" s="14"/>
      <c r="G2" s="14"/>
      <c r="H2" s="14"/>
      <c r="I2" s="38"/>
      <c r="J2" s="14"/>
      <c r="K2" s="14"/>
      <c r="L2" s="14"/>
      <c r="M2" s="14"/>
      <c r="N2" s="14"/>
      <c r="O2" s="14"/>
      <c r="P2" s="14"/>
      <c r="Q2" s="14"/>
      <c r="R2" s="14"/>
    </row>
    <row r="3" spans="1:20" customFormat="1" x14ac:dyDescent="0.3">
      <c r="A3" s="31" t="s">
        <v>176</v>
      </c>
      <c r="D3" s="3"/>
      <c r="E3" s="33"/>
      <c r="I3" s="39"/>
    </row>
    <row r="4" spans="1:20" ht="13.5" customHeight="1" x14ac:dyDescent="0.3">
      <c r="E4" s="32"/>
      <c r="F4" s="32"/>
      <c r="G4" s="32"/>
      <c r="H4" s="32"/>
      <c r="I4" s="40"/>
      <c r="J4" s="32"/>
      <c r="L4" s="8"/>
    </row>
    <row r="5" spans="1:20" customFormat="1" x14ac:dyDescent="0.3">
      <c r="B5" s="15" t="s">
        <v>44</v>
      </c>
      <c r="C5" s="15"/>
      <c r="D5" s="15"/>
      <c r="E5" s="15"/>
      <c r="F5" s="15"/>
      <c r="G5" s="15"/>
      <c r="H5" s="15"/>
      <c r="I5" s="37"/>
      <c r="J5" s="15"/>
      <c r="K5" s="15"/>
      <c r="L5" s="91"/>
      <c r="M5" s="15"/>
      <c r="N5" s="15"/>
      <c r="O5" s="15"/>
      <c r="P5" s="15"/>
      <c r="Q5" s="15"/>
      <c r="R5" s="15"/>
      <c r="S5" s="15"/>
      <c r="T5" s="15"/>
    </row>
    <row r="6" spans="1:20" x14ac:dyDescent="0.3">
      <c r="F6" s="413" t="s">
        <v>70</v>
      </c>
      <c r="G6" s="413"/>
      <c r="H6" s="413"/>
      <c r="I6" s="413"/>
      <c r="J6" s="413"/>
      <c r="K6" s="413"/>
      <c r="S6" s="8"/>
    </row>
    <row r="7" spans="1:20" x14ac:dyDescent="0.3">
      <c r="D7" s="3"/>
      <c r="F7" s="413"/>
      <c r="G7" s="413"/>
      <c r="H7" s="413"/>
      <c r="I7" s="413"/>
      <c r="J7" s="413"/>
      <c r="K7" s="413"/>
      <c r="S7" s="8"/>
    </row>
    <row r="8" spans="1:20" x14ac:dyDescent="0.3">
      <c r="D8" s="3"/>
      <c r="F8" s="413"/>
      <c r="G8" s="413"/>
      <c r="H8" s="413"/>
      <c r="I8" s="413"/>
      <c r="J8" s="413"/>
      <c r="K8" s="413"/>
      <c r="S8" s="8"/>
    </row>
    <row r="9" spans="1:20" x14ac:dyDescent="0.3">
      <c r="D9" s="3"/>
      <c r="F9" s="413"/>
      <c r="G9" s="413"/>
      <c r="H9" s="413"/>
      <c r="I9" s="413"/>
      <c r="J9" s="413"/>
      <c r="K9" s="413"/>
      <c r="S9" s="8"/>
    </row>
    <row r="10" spans="1:20" x14ac:dyDescent="0.3">
      <c r="D10" s="3"/>
      <c r="S10" s="8"/>
    </row>
    <row r="11" spans="1:20" x14ac:dyDescent="0.3">
      <c r="B11" s="15" t="s">
        <v>73</v>
      </c>
      <c r="C11" s="15"/>
      <c r="D11" s="15"/>
      <c r="E11" s="15"/>
      <c r="F11" s="15"/>
      <c r="G11" s="15"/>
      <c r="H11" s="15"/>
      <c r="I11" s="15"/>
      <c r="J11" s="15"/>
      <c r="K11" s="15"/>
      <c r="L11" s="91"/>
      <c r="M11" s="15"/>
      <c r="N11" s="15"/>
      <c r="O11" s="15"/>
      <c r="P11" s="15"/>
      <c r="Q11" s="15"/>
      <c r="R11" s="15"/>
      <c r="S11" s="15"/>
      <c r="T11" s="15"/>
    </row>
    <row r="12" spans="1:20" x14ac:dyDescent="0.3">
      <c r="H12" s="3"/>
      <c r="I12" s="44"/>
      <c r="J12" s="3"/>
      <c r="K12" s="3"/>
      <c r="L12" s="3"/>
      <c r="M12" s="3"/>
      <c r="N12" s="3"/>
      <c r="O12" s="3"/>
      <c r="P12" s="3"/>
      <c r="Q12" s="3"/>
      <c r="R12" s="3"/>
    </row>
    <row r="13" spans="1:20" customFormat="1" outlineLevel="1" x14ac:dyDescent="0.3">
      <c r="A13" s="8"/>
      <c r="C13" s="8"/>
      <c r="D13" s="30" t="s">
        <v>179</v>
      </c>
      <c r="E13" s="33"/>
      <c r="F13" s="8"/>
      <c r="I13" s="39"/>
      <c r="J13" s="107" t="str">
        <f>Cockpit!$I$10</f>
        <v>2025-2026</v>
      </c>
      <c r="K13" s="30"/>
      <c r="L13" s="134"/>
      <c r="M13" s="30"/>
      <c r="N13" s="30"/>
      <c r="O13" s="30"/>
      <c r="P13" s="30"/>
      <c r="Q13" s="30"/>
    </row>
    <row r="14" spans="1:20" outlineLevel="1" x14ac:dyDescent="0.3">
      <c r="K14" s="46"/>
      <c r="L14" s="104"/>
      <c r="M14" s="46"/>
      <c r="N14" s="46"/>
      <c r="O14" s="46"/>
      <c r="P14" s="46"/>
      <c r="Q14" s="46"/>
    </row>
    <row r="15" spans="1:20" outlineLevel="1" x14ac:dyDescent="0.3">
      <c r="C15" s="105" t="s">
        <v>337</v>
      </c>
      <c r="D15" s="106"/>
      <c r="E15" s="24"/>
      <c r="F15" s="105"/>
      <c r="G15" s="105"/>
      <c r="H15" s="105"/>
      <c r="I15" s="97"/>
      <c r="J15" s="105"/>
      <c r="K15" s="105"/>
      <c r="T15" s="104"/>
    </row>
    <row r="16" spans="1:20" outlineLevel="1" x14ac:dyDescent="0.3">
      <c r="K16" s="46"/>
      <c r="T16" s="46"/>
    </row>
    <row r="17" spans="1:19" s="7" customFormat="1" outlineLevel="1" x14ac:dyDescent="0.3">
      <c r="A17" s="55"/>
      <c r="B17" s="8"/>
      <c r="C17" s="8"/>
      <c r="D17" s="32" t="s">
        <v>338</v>
      </c>
      <c r="J17" s="120">
        <f>'Wholesale Tariff Inputs'!E8</f>
        <v>0</v>
      </c>
      <c r="K17" s="3"/>
      <c r="L17" s="108"/>
    </row>
    <row r="18" spans="1:19" s="7" customFormat="1" outlineLevel="1" x14ac:dyDescent="0.3">
      <c r="A18" s="55"/>
      <c r="B18" s="8"/>
      <c r="C18" s="8"/>
      <c r="K18" s="3"/>
      <c r="L18" s="108"/>
    </row>
    <row r="19" spans="1:19" s="7" customFormat="1" outlineLevel="1" x14ac:dyDescent="0.3">
      <c r="A19" s="55"/>
      <c r="B19" s="8"/>
      <c r="C19" s="8"/>
      <c r="D19" s="3" t="s">
        <v>319</v>
      </c>
      <c r="E19" s="33"/>
      <c r="F19" s="3"/>
      <c r="G19" s="3"/>
      <c r="H19" s="3"/>
      <c r="I19" s="42"/>
      <c r="J19" s="3"/>
      <c r="K19" s="3"/>
      <c r="L19" s="108"/>
    </row>
    <row r="20" spans="1:19" s="7" customFormat="1" outlineLevel="1" x14ac:dyDescent="0.3">
      <c r="A20" s="55"/>
      <c r="B20" s="8"/>
      <c r="C20" s="8"/>
      <c r="D20" s="3"/>
      <c r="E20" s="33"/>
      <c r="F20" s="8" t="s">
        <v>320</v>
      </c>
      <c r="G20" s="8"/>
      <c r="H20" s="42" t="s">
        <v>339</v>
      </c>
      <c r="I20" s="42"/>
      <c r="J20" s="107">
        <f>Cockpit!I$27</f>
        <v>0</v>
      </c>
      <c r="K20" s="3"/>
      <c r="L20" s="108"/>
    </row>
    <row r="21" spans="1:19" s="7" customFormat="1" outlineLevel="1" x14ac:dyDescent="0.3">
      <c r="A21" s="55"/>
      <c r="B21" s="8"/>
      <c r="C21" s="8"/>
      <c r="D21" s="32"/>
      <c r="E21" s="26"/>
      <c r="F21" s="8" t="s">
        <v>322</v>
      </c>
      <c r="G21" s="8"/>
      <c r="H21" s="42" t="s">
        <v>339</v>
      </c>
      <c r="I21" s="41"/>
      <c r="J21" s="107">
        <f>Cockpit!I$28</f>
        <v>0</v>
      </c>
      <c r="K21" s="3"/>
      <c r="L21" s="108"/>
    </row>
    <row r="22" spans="1:19" s="7" customFormat="1" outlineLevel="1" x14ac:dyDescent="0.3">
      <c r="A22" s="55"/>
      <c r="B22" s="8"/>
      <c r="C22" s="8"/>
      <c r="D22" s="3"/>
      <c r="E22" s="26"/>
      <c r="F22" s="3"/>
      <c r="G22" s="3"/>
      <c r="H22" s="3"/>
      <c r="I22" s="42"/>
      <c r="J22" s="3"/>
      <c r="K22" s="3"/>
      <c r="L22" s="108"/>
    </row>
    <row r="23" spans="1:19" s="7" customFormat="1" outlineLevel="1" x14ac:dyDescent="0.3">
      <c r="A23" s="55"/>
      <c r="B23" s="8"/>
      <c r="C23" s="8"/>
      <c r="D23" s="3" t="s">
        <v>340</v>
      </c>
      <c r="E23" s="33"/>
      <c r="F23" s="3"/>
      <c r="G23" s="3"/>
      <c r="H23" s="3"/>
      <c r="I23" s="42"/>
      <c r="J23" s="3"/>
      <c r="K23" s="3"/>
      <c r="L23" s="108"/>
    </row>
    <row r="24" spans="1:19" s="7" customFormat="1" outlineLevel="1" x14ac:dyDescent="0.3">
      <c r="A24" s="55"/>
      <c r="B24" s="8"/>
      <c r="C24" s="8"/>
      <c r="D24" s="3"/>
      <c r="E24" s="26"/>
      <c r="F24" s="8" t="s">
        <v>94</v>
      </c>
      <c r="G24" s="8"/>
      <c r="H24" s="42" t="s">
        <v>95</v>
      </c>
      <c r="I24" s="42"/>
      <c r="J24" s="107">
        <f>Cockpit!I$32</f>
        <v>0</v>
      </c>
      <c r="K24" s="3"/>
      <c r="L24" s="108"/>
    </row>
    <row r="25" spans="1:19" s="7" customFormat="1" outlineLevel="1" x14ac:dyDescent="0.3">
      <c r="A25" s="55"/>
      <c r="B25" s="8"/>
      <c r="C25" s="8"/>
      <c r="D25" s="3"/>
      <c r="E25" s="33"/>
      <c r="F25" s="8" t="s">
        <v>97</v>
      </c>
      <c r="G25" s="8"/>
      <c r="H25" s="42" t="s">
        <v>95</v>
      </c>
      <c r="I25" s="42"/>
      <c r="J25" s="107">
        <f>Cockpit!I$33</f>
        <v>0</v>
      </c>
      <c r="K25" s="3"/>
      <c r="L25" s="108"/>
    </row>
    <row r="26" spans="1:19" s="7" customFormat="1" outlineLevel="1" x14ac:dyDescent="0.3">
      <c r="A26" s="55"/>
      <c r="B26" s="8"/>
      <c r="C26" s="8"/>
      <c r="D26" s="3"/>
      <c r="E26" s="33"/>
      <c r="K26" s="3"/>
      <c r="L26" s="108"/>
    </row>
    <row r="27" spans="1:19" outlineLevel="1" x14ac:dyDescent="0.3">
      <c r="A27" s="55"/>
      <c r="D27" s="3" t="s">
        <v>206</v>
      </c>
      <c r="F27" s="3"/>
      <c r="G27" s="3"/>
      <c r="H27" s="42" t="s">
        <v>198</v>
      </c>
      <c r="I27" s="42"/>
      <c r="J27" s="113">
        <f>Cockpit!$I$46</f>
        <v>0.95</v>
      </c>
      <c r="K27" s="46"/>
    </row>
    <row r="28" spans="1:19" outlineLevel="1" x14ac:dyDescent="0.3">
      <c r="A28" s="55"/>
      <c r="E28" s="114"/>
      <c r="F28" s="115"/>
      <c r="G28" s="115"/>
      <c r="H28" s="116"/>
      <c r="I28" s="117"/>
      <c r="J28" s="118"/>
      <c r="K28" s="119"/>
    </row>
    <row r="29" spans="1:19" s="7" customFormat="1" outlineLevel="1" x14ac:dyDescent="0.3">
      <c r="A29" s="8"/>
      <c r="B29" s="8"/>
      <c r="C29" s="105" t="s">
        <v>341</v>
      </c>
      <c r="D29" s="106"/>
      <c r="E29" s="24"/>
      <c r="F29" s="105"/>
      <c r="G29" s="105"/>
      <c r="H29" s="105"/>
      <c r="I29" s="97"/>
      <c r="J29" s="105"/>
      <c r="K29" s="105"/>
      <c r="L29" s="108"/>
    </row>
    <row r="30" spans="1:19" outlineLevel="1" x14ac:dyDescent="0.3">
      <c r="L30" s="3"/>
      <c r="M30" s="26"/>
      <c r="S30" s="8"/>
    </row>
    <row r="31" spans="1:19" outlineLevel="1" x14ac:dyDescent="0.3">
      <c r="C31" s="32" t="s">
        <v>342</v>
      </c>
      <c r="D31" s="26"/>
      <c r="E31" s="8"/>
      <c r="H31" s="41"/>
      <c r="I31" s="7"/>
      <c r="J31" s="7"/>
      <c r="L31" s="104"/>
      <c r="M31" s="46"/>
      <c r="N31" s="46"/>
      <c r="O31" s="46"/>
      <c r="P31" s="46"/>
      <c r="Q31" s="46"/>
    </row>
    <row r="32" spans="1:19" outlineLevel="1" x14ac:dyDescent="0.3">
      <c r="C32" s="3"/>
      <c r="D32" s="26" t="s">
        <v>223</v>
      </c>
      <c r="E32" s="3"/>
      <c r="F32" s="3"/>
      <c r="G32" s="3"/>
      <c r="H32" s="42"/>
      <c r="I32" s="8"/>
      <c r="J32" s="136" t="s">
        <v>252</v>
      </c>
      <c r="K32" s="136" t="s">
        <v>175</v>
      </c>
      <c r="L32" s="104"/>
      <c r="M32" s="46"/>
      <c r="N32" s="46"/>
      <c r="O32" s="46"/>
      <c r="P32" s="46"/>
      <c r="Q32" s="46"/>
    </row>
    <row r="33" spans="3:17" outlineLevel="1" x14ac:dyDescent="0.3">
      <c r="C33" s="3"/>
      <c r="D33" s="26"/>
      <c r="E33" s="8" t="s">
        <v>229</v>
      </c>
      <c r="G33" s="42" t="s">
        <v>230</v>
      </c>
      <c r="H33" s="42"/>
      <c r="I33" s="8"/>
      <c r="J33" s="251">
        <f>IF(J20&gt;0,(INDEX('Wholesale tariffs'!$M$32:$Y$32,MATCH($J$13,'Wholesale tariffs'!$M$5:$Y$5,0))),0)</f>
        <v>0</v>
      </c>
      <c r="K33" s="251">
        <f>IF(J20&gt;0,(INDEX('Wholesale tariffs'!$M$60:$Y$60,MATCH($J$13,'Wholesale tariffs'!$M$5:$Y$5,0))),0)</f>
        <v>0</v>
      </c>
      <c r="L33" s="104"/>
      <c r="M33" s="46"/>
      <c r="N33" s="46"/>
      <c r="O33" s="46"/>
      <c r="P33" s="46"/>
      <c r="Q33" s="46"/>
    </row>
    <row r="34" spans="3:17" outlineLevel="1" x14ac:dyDescent="0.3">
      <c r="C34" s="3"/>
      <c r="D34" s="26"/>
      <c r="E34" s="8" t="s">
        <v>228</v>
      </c>
      <c r="G34" s="42" t="s">
        <v>102</v>
      </c>
      <c r="H34" s="42"/>
      <c r="I34" s="8"/>
      <c r="J34" s="251">
        <f>INDEX('Wholesale tariffs'!$M$33:$Y$33,MATCH($J$13,'Wholesale tariffs'!$M$5:$Y$5,0))</f>
        <v>211.95</v>
      </c>
      <c r="K34" s="251">
        <f>INDEX('Wholesale tariffs'!$M$61:$Y$61,MATCH($J$13,'Wholesale tariffs'!$M$5:$Y$5,0))</f>
        <v>120.06</v>
      </c>
      <c r="L34" s="104"/>
      <c r="M34" s="46"/>
      <c r="N34" s="46"/>
      <c r="O34" s="46"/>
      <c r="P34" s="46"/>
      <c r="Q34" s="46"/>
    </row>
    <row r="35" spans="3:17" outlineLevel="1" x14ac:dyDescent="0.3">
      <c r="C35" s="3"/>
      <c r="D35" s="26" t="s">
        <v>224</v>
      </c>
      <c r="E35" s="3"/>
      <c r="F35" s="3"/>
      <c r="G35" s="42"/>
      <c r="H35" s="42"/>
      <c r="I35" s="8"/>
      <c r="J35" s="3"/>
      <c r="K35" s="3"/>
      <c r="L35" s="104"/>
      <c r="M35" s="46"/>
      <c r="N35" s="46"/>
      <c r="O35" s="46"/>
      <c r="P35" s="46"/>
      <c r="Q35" s="46"/>
    </row>
    <row r="36" spans="3:17" outlineLevel="1" x14ac:dyDescent="0.3">
      <c r="C36" s="3"/>
      <c r="D36" s="26"/>
      <c r="E36" s="8" t="s">
        <v>229</v>
      </c>
      <c r="G36" s="42" t="s">
        <v>230</v>
      </c>
      <c r="H36" s="42"/>
      <c r="I36" s="8"/>
      <c r="J36" s="251">
        <f>INDEX('Wholesale tariffs'!$M$36:$Y$36,MATCH($J$13,'Wholesale tariffs'!$M$5:$Y$5,0))</f>
        <v>0</v>
      </c>
      <c r="K36" s="251">
        <f>INDEX('Wholesale tariffs'!$M$64:$Y$64,MATCH($J$13,'Wholesale tariffs'!$M$5:$Y$5,0))</f>
        <v>0</v>
      </c>
      <c r="L36" s="104"/>
      <c r="M36" s="46"/>
      <c r="N36" s="46"/>
      <c r="O36" s="46"/>
      <c r="P36" s="46"/>
      <c r="Q36" s="46"/>
    </row>
    <row r="37" spans="3:17" outlineLevel="1" x14ac:dyDescent="0.3">
      <c r="C37" s="3"/>
      <c r="D37" s="26"/>
      <c r="E37" s="8" t="s">
        <v>228</v>
      </c>
      <c r="G37" s="42" t="s">
        <v>102</v>
      </c>
      <c r="H37" s="42"/>
      <c r="I37" s="8"/>
      <c r="J37" s="251">
        <f>INDEX('Wholesale tariffs'!$M$37:$Y$37,MATCH($J$13,'Wholesale tariffs'!$M$5:$Y$5,0))</f>
        <v>270.85000000000002</v>
      </c>
      <c r="K37" s="251">
        <f>INDEX('Wholesale tariffs'!$M$65:$Y$65,MATCH($J$13,'Wholesale tariffs'!$M$5:$Y$5,0))</f>
        <v>270.85000000000002</v>
      </c>
      <c r="L37" s="104"/>
      <c r="M37" s="46"/>
      <c r="N37" s="46"/>
      <c r="O37" s="46"/>
      <c r="P37" s="46"/>
      <c r="Q37" s="46"/>
    </row>
    <row r="38" spans="3:17" outlineLevel="1" x14ac:dyDescent="0.3">
      <c r="C38" s="3"/>
      <c r="D38" s="84"/>
      <c r="E38" s="83"/>
      <c r="F38" s="83"/>
      <c r="G38" s="109"/>
      <c r="H38" s="109"/>
      <c r="I38" s="8"/>
      <c r="J38" s="110"/>
      <c r="K38" s="110"/>
      <c r="L38" s="104"/>
      <c r="M38" s="46"/>
      <c r="N38" s="46"/>
      <c r="O38" s="46"/>
      <c r="P38" s="46"/>
      <c r="Q38" s="46"/>
    </row>
    <row r="39" spans="3:17" outlineLevel="1" x14ac:dyDescent="0.3">
      <c r="C39" s="32" t="s">
        <v>343</v>
      </c>
      <c r="D39" s="26"/>
      <c r="E39" s="8"/>
      <c r="G39" s="44"/>
      <c r="H39" s="41"/>
      <c r="I39" s="8"/>
      <c r="L39" s="104"/>
      <c r="M39" s="46"/>
      <c r="N39" s="46"/>
      <c r="O39" s="46"/>
      <c r="P39" s="46"/>
      <c r="Q39" s="46"/>
    </row>
    <row r="40" spans="3:17" outlineLevel="1" x14ac:dyDescent="0.3">
      <c r="C40" s="3"/>
      <c r="D40" s="26" t="s">
        <v>223</v>
      </c>
      <c r="E40" s="3"/>
      <c r="F40" s="3"/>
      <c r="G40" s="42"/>
      <c r="H40" s="42"/>
      <c r="I40" s="8"/>
      <c r="J40" s="3"/>
      <c r="K40" s="3"/>
      <c r="L40" s="104"/>
      <c r="M40" s="46"/>
      <c r="N40" s="46"/>
      <c r="O40" s="46"/>
      <c r="P40" s="46"/>
      <c r="Q40" s="46"/>
    </row>
    <row r="41" spans="3:17" outlineLevel="1" x14ac:dyDescent="0.3">
      <c r="C41" s="3"/>
      <c r="D41" s="26"/>
      <c r="E41" s="8" t="s">
        <v>344</v>
      </c>
      <c r="G41" s="42" t="s">
        <v>102</v>
      </c>
      <c r="H41" s="42"/>
      <c r="I41" s="8"/>
      <c r="J41" s="251">
        <f>INDEX('Wholesale tariffs'!$M$18:$Y$18,MATCH($J$13,'Wholesale tariffs'!$M$5:$Y$5,0))</f>
        <v>208.27</v>
      </c>
      <c r="K41" s="251">
        <f>INDEX('Wholesale tariffs'!$M$46:$Y$46,MATCH($J$13,'Wholesale tariffs'!$M$5:$Y$5,0))</f>
        <v>115.55</v>
      </c>
      <c r="L41" s="104"/>
      <c r="M41" s="46"/>
      <c r="N41" s="46"/>
      <c r="O41" s="46"/>
      <c r="P41" s="46"/>
      <c r="Q41" s="46"/>
    </row>
    <row r="42" spans="3:17" outlineLevel="1" x14ac:dyDescent="0.3">
      <c r="C42" s="3"/>
      <c r="D42" s="26"/>
      <c r="E42" s="8" t="s">
        <v>345</v>
      </c>
      <c r="G42" s="42" t="s">
        <v>102</v>
      </c>
      <c r="H42" s="42"/>
      <c r="I42" s="8"/>
      <c r="J42" s="251">
        <f>INDEX('Wholesale tariffs'!$M$19:$Y$19,MATCH($J$13,'Wholesale tariffs'!$M$5:$Y$5,0))</f>
        <v>133</v>
      </c>
      <c r="K42" s="251">
        <f>INDEX('Wholesale tariffs'!$M$47:$Y$47,MATCH($J$13,'Wholesale tariffs'!$M$5:$Y$5,0))</f>
        <v>101.53</v>
      </c>
      <c r="L42" s="104"/>
      <c r="M42" s="46"/>
      <c r="N42" s="46"/>
      <c r="O42" s="46"/>
      <c r="P42" s="46"/>
      <c r="Q42" s="46"/>
    </row>
    <row r="43" spans="3:17" outlineLevel="1" x14ac:dyDescent="0.3">
      <c r="C43" s="3"/>
      <c r="D43" s="26"/>
      <c r="E43" s="8" t="s">
        <v>346</v>
      </c>
      <c r="G43" s="42" t="s">
        <v>102</v>
      </c>
      <c r="H43" s="42"/>
      <c r="I43" s="8"/>
      <c r="J43" s="251">
        <f>INDEX('Wholesale tariffs'!$M$20:$Y$20,MATCH($J$13,'Wholesale tariffs'!$M$5:$Y$5,0))</f>
        <v>112.25</v>
      </c>
      <c r="K43" s="251">
        <f>INDEX('Wholesale tariffs'!$M$48:$Y$48,MATCH($J$13,'Wholesale tariffs'!$M$5:$Y$5,0))</f>
        <v>101.53</v>
      </c>
      <c r="L43" s="104"/>
      <c r="M43" s="46"/>
      <c r="N43" s="46"/>
      <c r="O43" s="46"/>
      <c r="P43" s="46"/>
      <c r="Q43" s="46"/>
    </row>
    <row r="44" spans="3:17" outlineLevel="1" x14ac:dyDescent="0.3">
      <c r="C44" s="3"/>
      <c r="D44" s="26" t="s">
        <v>224</v>
      </c>
      <c r="E44" s="3"/>
      <c r="F44" s="3"/>
      <c r="G44" s="42"/>
      <c r="H44" s="42"/>
      <c r="I44" s="8"/>
      <c r="J44" s="252"/>
      <c r="K44" s="252"/>
      <c r="L44" s="104"/>
      <c r="M44" s="46"/>
      <c r="N44" s="46"/>
      <c r="O44" s="46"/>
      <c r="P44" s="46"/>
      <c r="Q44" s="46"/>
    </row>
    <row r="45" spans="3:17" outlineLevel="1" x14ac:dyDescent="0.3">
      <c r="C45" s="3"/>
      <c r="D45" s="26"/>
      <c r="E45" s="8" t="s">
        <v>344</v>
      </c>
      <c r="G45" s="42" t="s">
        <v>102</v>
      </c>
      <c r="H45" s="42"/>
      <c r="I45" s="8"/>
      <c r="J45" s="251">
        <f>INDEX('Wholesale tariffs'!$M$25:$Y$25,MATCH($J$13,'Wholesale tariffs'!$M$5:$Y$5,0))</f>
        <v>259.92</v>
      </c>
      <c r="K45" s="251">
        <f>INDEX('Wholesale tariffs'!$M$53:$Y$53,MATCH($J$13,'Wholesale tariffs'!$M$5:$Y$5,0))</f>
        <v>259.92</v>
      </c>
      <c r="L45" s="104"/>
      <c r="M45" s="46"/>
      <c r="N45" s="46"/>
      <c r="O45" s="46"/>
      <c r="P45" s="46"/>
      <c r="Q45" s="46"/>
    </row>
    <row r="46" spans="3:17" outlineLevel="1" x14ac:dyDescent="0.3">
      <c r="C46" s="3"/>
      <c r="D46" s="26"/>
      <c r="E46" s="8" t="s">
        <v>345</v>
      </c>
      <c r="G46" s="42" t="s">
        <v>102</v>
      </c>
      <c r="H46" s="42"/>
      <c r="I46" s="8"/>
      <c r="J46" s="251">
        <f>INDEX('Wholesale tariffs'!$M$26:$Y$26,MATCH($J$13,'Wholesale tariffs'!$M$5:$Y$5,0))</f>
        <v>210.09</v>
      </c>
      <c r="K46" s="251">
        <f>INDEX('Wholesale tariffs'!$M$54:$Y$54,MATCH($J$13,'Wholesale tariffs'!$M$5:$Y$5,0))</f>
        <v>210.09</v>
      </c>
      <c r="L46" s="104"/>
      <c r="M46" s="46"/>
      <c r="N46" s="46"/>
      <c r="O46" s="46"/>
      <c r="P46" s="46"/>
      <c r="Q46" s="46"/>
    </row>
    <row r="47" spans="3:17" outlineLevel="1" x14ac:dyDescent="0.3">
      <c r="C47" s="3"/>
      <c r="D47" s="26"/>
      <c r="E47" s="8" t="s">
        <v>346</v>
      </c>
      <c r="G47" s="42" t="s">
        <v>102</v>
      </c>
      <c r="H47" s="42"/>
      <c r="I47" s="8"/>
      <c r="J47" s="251">
        <f>INDEX('Wholesale tariffs'!$M$27:$Y$27,MATCH($J$13,'Wholesale tariffs'!$M$5:$Y$5,0))</f>
        <v>191.76</v>
      </c>
      <c r="K47" s="251">
        <f>INDEX('Wholesale tariffs'!$M$55:$Y$55,MATCH($J$13,'Wholesale tariffs'!$M$5:$Y$5,0))</f>
        <v>191.76</v>
      </c>
      <c r="L47" s="104"/>
      <c r="M47" s="46"/>
      <c r="N47" s="46"/>
      <c r="O47" s="46"/>
      <c r="P47" s="46"/>
      <c r="Q47" s="46"/>
    </row>
    <row r="48" spans="3:17" outlineLevel="1" x14ac:dyDescent="0.3">
      <c r="D48" s="8"/>
      <c r="E48" s="8"/>
      <c r="I48" s="8"/>
      <c r="L48" s="104"/>
      <c r="M48" s="46"/>
      <c r="N48" s="46"/>
      <c r="O48" s="46"/>
      <c r="P48" s="46"/>
      <c r="Q48" s="46"/>
    </row>
    <row r="49" spans="1:28" outlineLevel="1" x14ac:dyDescent="0.3">
      <c r="D49" s="8"/>
      <c r="E49" s="8"/>
      <c r="I49" s="8"/>
      <c r="L49" s="104"/>
      <c r="M49" s="46"/>
      <c r="N49" s="46"/>
      <c r="O49" s="46"/>
      <c r="P49" s="46"/>
      <c r="Q49" s="46"/>
    </row>
    <row r="50" spans="1:28" customFormat="1" x14ac:dyDescent="0.3">
      <c r="A50" s="8"/>
      <c r="B50" s="15" t="s">
        <v>306</v>
      </c>
      <c r="C50" s="15"/>
      <c r="D50" s="15"/>
      <c r="E50" s="15"/>
      <c r="F50" s="15"/>
      <c r="G50" s="15"/>
      <c r="H50" s="15"/>
      <c r="I50" s="37"/>
      <c r="J50" s="15"/>
      <c r="K50" s="15"/>
      <c r="L50" s="91"/>
      <c r="M50" s="91"/>
      <c r="N50" s="91"/>
      <c r="O50" s="91"/>
      <c r="P50" s="91"/>
      <c r="Q50" s="91"/>
      <c r="R50" s="91"/>
      <c r="S50" s="91"/>
      <c r="T50" s="91"/>
    </row>
    <row r="51" spans="1:28" x14ac:dyDescent="0.3"/>
    <row r="52" spans="1:28" x14ac:dyDescent="0.3">
      <c r="C52" s="105" t="s">
        <v>347</v>
      </c>
      <c r="D52" s="106"/>
      <c r="E52" s="24"/>
      <c r="F52" s="105"/>
      <c r="G52" s="105"/>
      <c r="H52" s="105"/>
      <c r="I52" s="97"/>
      <c r="J52" s="105"/>
      <c r="K52" s="105"/>
      <c r="L52" s="111"/>
      <c r="M52" s="112"/>
      <c r="N52" s="88"/>
      <c r="O52" s="111"/>
      <c r="P52" s="111"/>
      <c r="Q52" s="111"/>
      <c r="R52" s="102"/>
      <c r="S52" s="111"/>
      <c r="T52" s="104"/>
    </row>
    <row r="53" spans="1:28" s="55" customFormat="1" x14ac:dyDescent="0.3">
      <c r="C53" s="111"/>
      <c r="D53" s="112"/>
      <c r="E53" s="88"/>
      <c r="F53" s="111"/>
      <c r="G53" s="111"/>
      <c r="H53" s="111"/>
      <c r="I53" s="102"/>
      <c r="J53" s="111"/>
      <c r="K53" s="104"/>
      <c r="L53" s="111"/>
      <c r="M53" s="112"/>
      <c r="N53" s="88"/>
      <c r="O53" s="111"/>
      <c r="P53" s="111"/>
      <c r="Q53" s="111"/>
      <c r="R53" s="102"/>
      <c r="S53" s="111"/>
      <c r="T53" s="104"/>
    </row>
    <row r="54" spans="1:28" x14ac:dyDescent="0.3">
      <c r="E54" s="26" t="s">
        <v>348</v>
      </c>
      <c r="G54" s="3"/>
      <c r="H54" s="44"/>
      <c r="I54" s="3"/>
      <c r="J54" s="3"/>
      <c r="K54" s="3"/>
      <c r="L54" s="3"/>
      <c r="M54" s="3"/>
      <c r="N54" s="3"/>
      <c r="O54" s="3"/>
      <c r="P54" s="3"/>
      <c r="S54" s="8"/>
      <c r="AB54"/>
    </row>
    <row r="55" spans="1:28" x14ac:dyDescent="0.3">
      <c r="F55" s="8" t="s">
        <v>320</v>
      </c>
      <c r="G55" s="3"/>
      <c r="H55" s="44" t="s">
        <v>95</v>
      </c>
      <c r="I55" s="8"/>
      <c r="J55" s="151">
        <f>J24*$J$27</f>
        <v>0</v>
      </c>
      <c r="K55" s="3"/>
      <c r="L55" s="3"/>
      <c r="M55" s="3"/>
      <c r="N55" s="3"/>
      <c r="O55" s="3"/>
      <c r="P55" s="3"/>
      <c r="S55" s="8"/>
      <c r="AB55"/>
    </row>
    <row r="56" spans="1:28" s="7" customFormat="1" x14ac:dyDescent="0.3">
      <c r="A56" s="8"/>
      <c r="D56" s="3"/>
      <c r="E56" s="33"/>
      <c r="F56" s="8" t="s">
        <v>322</v>
      </c>
      <c r="G56" s="3"/>
      <c r="H56" s="44" t="s">
        <v>95</v>
      </c>
      <c r="J56" s="151">
        <f>J25*$J$27</f>
        <v>0</v>
      </c>
      <c r="K56" s="3"/>
      <c r="L56" s="3"/>
      <c r="M56" s="3"/>
      <c r="N56" s="3"/>
      <c r="O56" s="3"/>
      <c r="P56" s="3"/>
      <c r="Q56" s="3"/>
      <c r="R56" s="3"/>
      <c r="S56" s="3"/>
      <c r="T56" s="3"/>
      <c r="U56" s="3"/>
      <c r="V56" s="3"/>
      <c r="W56" s="3"/>
      <c r="X56" s="3"/>
      <c r="Y56" s="3"/>
      <c r="Z56" s="3"/>
      <c r="AA56" s="3"/>
      <c r="AB56"/>
    </row>
    <row r="57" spans="1:28" x14ac:dyDescent="0.3">
      <c r="H57" s="44"/>
      <c r="I57" s="3"/>
      <c r="J57" s="25"/>
      <c r="M57" s="4"/>
      <c r="O57" s="3"/>
      <c r="P57" s="3"/>
      <c r="Q57" s="3"/>
      <c r="R57" s="3"/>
      <c r="S57" s="3"/>
      <c r="T57" s="3"/>
      <c r="U57" s="3"/>
      <c r="V57" s="3"/>
      <c r="W57" s="3"/>
      <c r="X57" s="3"/>
      <c r="Y57" s="3"/>
      <c r="Z57" s="3"/>
      <c r="AA57" s="3"/>
      <c r="AB57"/>
    </row>
    <row r="58" spans="1:28" s="7" customFormat="1" x14ac:dyDescent="0.3">
      <c r="A58" s="8"/>
      <c r="B58" s="8"/>
      <c r="C58" s="8"/>
      <c r="D58" s="3"/>
      <c r="E58" s="33" t="s">
        <v>347</v>
      </c>
      <c r="F58" s="3"/>
      <c r="G58" s="3"/>
      <c r="H58" s="3"/>
      <c r="I58" s="42"/>
      <c r="J58" s="137" t="s">
        <v>223</v>
      </c>
      <c r="K58" s="137" t="s">
        <v>224</v>
      </c>
      <c r="L58" s="3"/>
      <c r="M58" s="3"/>
      <c r="N58" s="3"/>
      <c r="O58" s="3"/>
      <c r="P58" s="3"/>
      <c r="Q58" s="3"/>
      <c r="R58" s="3"/>
      <c r="S58"/>
    </row>
    <row r="59" spans="1:28" x14ac:dyDescent="0.3">
      <c r="F59" s="8" t="s">
        <v>320</v>
      </c>
      <c r="H59" s="44" t="s">
        <v>334</v>
      </c>
      <c r="J59" s="130">
        <f>J20*J24</f>
        <v>0</v>
      </c>
      <c r="K59" s="130">
        <f>J20*J55</f>
        <v>0</v>
      </c>
    </row>
    <row r="60" spans="1:28" x14ac:dyDescent="0.3">
      <c r="F60" s="8" t="s">
        <v>349</v>
      </c>
      <c r="H60" s="44" t="s">
        <v>334</v>
      </c>
      <c r="J60" s="130">
        <f>J21*J25</f>
        <v>0</v>
      </c>
      <c r="K60" s="130">
        <f>J21*J56</f>
        <v>0</v>
      </c>
    </row>
    <row r="61" spans="1:28" x14ac:dyDescent="0.3">
      <c r="F61" s="128" t="s">
        <v>313</v>
      </c>
      <c r="G61" s="129"/>
      <c r="H61" s="129" t="s">
        <v>334</v>
      </c>
      <c r="I61" s="117"/>
      <c r="J61" s="135">
        <f>SUM(J59:J60)</f>
        <v>0</v>
      </c>
      <c r="K61" s="130">
        <f>SUM(K59:K60)</f>
        <v>0</v>
      </c>
    </row>
    <row r="62" spans="1:28" x14ac:dyDescent="0.3"/>
    <row r="63" spans="1:28" x14ac:dyDescent="0.3">
      <c r="C63" s="105" t="s">
        <v>350</v>
      </c>
      <c r="D63" s="106"/>
      <c r="E63" s="24"/>
      <c r="F63" s="105"/>
      <c r="G63" s="105"/>
      <c r="H63" s="105"/>
      <c r="I63" s="97"/>
      <c r="J63" s="105"/>
      <c r="K63" s="105"/>
    </row>
    <row r="64" spans="1:28" s="55" customFormat="1" x14ac:dyDescent="0.3">
      <c r="C64" s="111"/>
      <c r="D64" s="112"/>
      <c r="E64" s="88"/>
      <c r="F64" s="111"/>
      <c r="G64" s="111"/>
      <c r="H64" s="111"/>
      <c r="I64" s="102"/>
      <c r="J64" s="111"/>
      <c r="K64" s="111"/>
      <c r="S64" s="56"/>
    </row>
    <row r="65" spans="1:19" s="55" customFormat="1" x14ac:dyDescent="0.3">
      <c r="C65" s="111"/>
      <c r="D65" s="112"/>
      <c r="E65" s="124" t="s">
        <v>320</v>
      </c>
      <c r="F65" s="111"/>
      <c r="G65" s="111"/>
      <c r="H65" s="111"/>
      <c r="I65" s="102"/>
      <c r="J65" s="137" t="s">
        <v>223</v>
      </c>
      <c r="K65" s="137" t="s">
        <v>224</v>
      </c>
      <c r="S65" s="56"/>
    </row>
    <row r="66" spans="1:19" s="7" customFormat="1" x14ac:dyDescent="0.3">
      <c r="A66" s="8"/>
      <c r="B66" s="8"/>
      <c r="C66" s="8"/>
      <c r="D66" s="3"/>
      <c r="E66" s="26"/>
      <c r="F66" s="35" t="s">
        <v>228</v>
      </c>
      <c r="G66" s="122"/>
      <c r="H66" s="109" t="s">
        <v>351</v>
      </c>
      <c r="I66" s="123"/>
      <c r="J66" s="131">
        <f>IF($J$17="No",J34*J59/100,K34*J59/100)</f>
        <v>0</v>
      </c>
      <c r="K66" s="131">
        <f>IF($J$17="No",J37*K59/100,K37*K59/100)</f>
        <v>0</v>
      </c>
      <c r="L66" s="3"/>
      <c r="M66" s="3"/>
      <c r="N66" s="3"/>
      <c r="O66" s="3"/>
      <c r="P66" s="3"/>
      <c r="Q66" s="3"/>
      <c r="R66" s="3"/>
      <c r="S66"/>
    </row>
    <row r="67" spans="1:19" s="7" customFormat="1" x14ac:dyDescent="0.3">
      <c r="A67" s="8"/>
      <c r="B67" s="8"/>
      <c r="C67" s="8"/>
      <c r="D67" s="3"/>
      <c r="E67" s="26"/>
      <c r="F67" s="127" t="s">
        <v>229</v>
      </c>
      <c r="G67" s="122"/>
      <c r="H67" s="109" t="s">
        <v>351</v>
      </c>
      <c r="I67" s="123"/>
      <c r="J67" s="131">
        <f>IF($J$17="No",J33*J20,K33*J20)</f>
        <v>0</v>
      </c>
      <c r="K67" s="131">
        <f>IF($J$17="No",J36*J20,K36*J20)</f>
        <v>0</v>
      </c>
      <c r="L67" s="3"/>
      <c r="M67" s="3"/>
      <c r="N67" s="3"/>
      <c r="O67" s="3"/>
      <c r="P67" s="3"/>
      <c r="Q67" s="3"/>
      <c r="R67" s="3"/>
      <c r="S67"/>
    </row>
    <row r="68" spans="1:19" s="7" customFormat="1" x14ac:dyDescent="0.3">
      <c r="A68" s="8"/>
      <c r="B68" s="8"/>
      <c r="C68" s="8"/>
      <c r="D68" s="3"/>
      <c r="E68" s="26"/>
      <c r="F68" s="128" t="s">
        <v>313</v>
      </c>
      <c r="G68" s="116"/>
      <c r="H68" s="109" t="s">
        <v>351</v>
      </c>
      <c r="I68" s="116"/>
      <c r="J68" s="131">
        <f>SUM(J66:J67)</f>
        <v>0</v>
      </c>
      <c r="K68" s="131">
        <f>SUM(K66:K67)</f>
        <v>0</v>
      </c>
      <c r="L68" s="3"/>
      <c r="M68" s="3"/>
      <c r="N68" s="3"/>
      <c r="O68" s="3"/>
      <c r="P68" s="3"/>
      <c r="Q68" s="3"/>
      <c r="R68" s="3"/>
      <c r="S68"/>
    </row>
    <row r="69" spans="1:19" s="7" customFormat="1" x14ac:dyDescent="0.3">
      <c r="A69" s="8"/>
      <c r="B69" s="8"/>
      <c r="C69" s="8"/>
      <c r="D69" s="3"/>
      <c r="E69" s="26"/>
      <c r="F69" s="3"/>
      <c r="G69" s="3"/>
      <c r="H69" s="3"/>
      <c r="I69" s="42"/>
      <c r="J69" s="131"/>
      <c r="K69" s="131"/>
      <c r="L69" s="3"/>
      <c r="M69" s="3"/>
      <c r="N69" s="3"/>
      <c r="O69" s="3"/>
      <c r="P69" s="3"/>
      <c r="Q69" s="3"/>
      <c r="R69" s="3"/>
      <c r="S69"/>
    </row>
    <row r="70" spans="1:19" s="7" customFormat="1" x14ac:dyDescent="0.3">
      <c r="A70" s="8"/>
      <c r="B70" s="8"/>
      <c r="C70" s="8"/>
      <c r="D70" s="3"/>
      <c r="E70" s="33" t="s">
        <v>322</v>
      </c>
      <c r="G70" s="51"/>
      <c r="H70" s="3"/>
      <c r="I70" s="42"/>
      <c r="J70" s="131"/>
      <c r="K70" s="131"/>
      <c r="L70" s="3"/>
      <c r="M70" s="3"/>
      <c r="N70" s="3"/>
      <c r="O70" s="3"/>
      <c r="P70" s="3"/>
      <c r="Q70" s="3"/>
      <c r="R70" s="3"/>
      <c r="S70"/>
    </row>
    <row r="71" spans="1:19" s="7" customFormat="1" x14ac:dyDescent="0.3">
      <c r="A71" s="8"/>
      <c r="B71" s="8"/>
      <c r="C71" s="8"/>
      <c r="D71" s="3"/>
      <c r="E71" s="26"/>
      <c r="F71" s="8" t="s">
        <v>352</v>
      </c>
      <c r="G71" s="8"/>
      <c r="H71" s="109" t="s">
        <v>351</v>
      </c>
      <c r="I71" s="42"/>
      <c r="J71" s="131">
        <f>IF($J$17="No",IF(J60&gt;50000,50000*J41,J60*J41)/100,IF(J60&gt;50000,50000*K41,J60*K41)/100)</f>
        <v>0</v>
      </c>
      <c r="K71" s="131">
        <f>IF($J$17="No",IF(K60&gt;50000,50000*J45,K60*J45)/100,IF(K60&gt;50000,50000*K45,K60*K45)/1000)</f>
        <v>0</v>
      </c>
      <c r="L71" s="3"/>
      <c r="M71" s="3"/>
      <c r="N71" s="3"/>
      <c r="O71" s="3"/>
      <c r="P71" s="3"/>
      <c r="Q71" s="3"/>
      <c r="R71" s="3"/>
      <c r="S71"/>
    </row>
    <row r="72" spans="1:19" s="7" customFormat="1" x14ac:dyDescent="0.3">
      <c r="A72" s="8"/>
      <c r="B72" s="8"/>
      <c r="C72" s="8"/>
      <c r="D72" s="3"/>
      <c r="E72" s="26"/>
      <c r="F72" s="8" t="s">
        <v>353</v>
      </c>
      <c r="G72" s="8"/>
      <c r="H72" s="109" t="s">
        <v>351</v>
      </c>
      <c r="I72" s="42"/>
      <c r="J72" s="131">
        <f>IF($J$17="No",IF(J60&gt;250000,200000*J42,IF(J60&gt;50000,(J60-50000)*J42))/100,IF(J60&gt;250000,200000*K42,IF(J60&gt;50000,(J60-50000)*K42))/100)</f>
        <v>0</v>
      </c>
      <c r="K72" s="131">
        <f>IF($J$17="No",IF(K60&gt;250000,200000*J46,IF(K60&gt;50000,(K60-50000)*J46))/100,IF(K60&gt;250000,200000*K46,IF(K60&gt;50000,(K60-50000)*K46))/100)</f>
        <v>0</v>
      </c>
      <c r="L72" s="3"/>
      <c r="M72" s="3"/>
      <c r="N72" s="3"/>
      <c r="O72" s="3"/>
      <c r="P72" s="3"/>
      <c r="Q72" s="3"/>
      <c r="R72" s="3"/>
      <c r="S72"/>
    </row>
    <row r="73" spans="1:19" s="7" customFormat="1" x14ac:dyDescent="0.3">
      <c r="A73" s="8"/>
      <c r="B73" s="8"/>
      <c r="C73" s="8"/>
      <c r="D73" s="3"/>
      <c r="E73" s="26"/>
      <c r="F73" s="8" t="s">
        <v>354</v>
      </c>
      <c r="G73" s="8"/>
      <c r="H73" s="109" t="s">
        <v>351</v>
      </c>
      <c r="I73" s="42"/>
      <c r="J73" s="131">
        <f>IF($J$17=0,IF(J60&gt;250000,(J60-250000)*J43,0)/100,IF(J60&gt;250000,(J60-250000)*K43,0)/100)</f>
        <v>0</v>
      </c>
      <c r="K73" s="131">
        <f>IF($J$17=0,IF(K60&gt;250000,(K60-250000)*J47,0)/100,IF(K60&gt;250000,(K60-250000)*K47,0)/100)</f>
        <v>0</v>
      </c>
      <c r="L73" s="3"/>
      <c r="M73" s="3"/>
      <c r="N73" s="3"/>
      <c r="O73" s="3"/>
      <c r="P73" s="3"/>
      <c r="Q73" s="3"/>
      <c r="R73" s="3"/>
      <c r="S73"/>
    </row>
    <row r="74" spans="1:19" s="7" customFormat="1" x14ac:dyDescent="0.3">
      <c r="A74" s="8"/>
      <c r="B74" s="8"/>
      <c r="C74" s="8"/>
      <c r="D74" s="3"/>
      <c r="E74" s="26"/>
      <c r="F74" s="128" t="s">
        <v>355</v>
      </c>
      <c r="G74" s="129"/>
      <c r="H74" s="109" t="s">
        <v>351</v>
      </c>
      <c r="I74" s="116"/>
      <c r="J74" s="131">
        <f>SUM(J71:J73)</f>
        <v>0</v>
      </c>
      <c r="K74" s="131">
        <f>SUM(K71:K73)</f>
        <v>0</v>
      </c>
      <c r="L74" s="3"/>
      <c r="M74" s="3"/>
      <c r="N74" s="3"/>
      <c r="O74" s="3"/>
      <c r="P74" s="3"/>
      <c r="Q74" s="3"/>
      <c r="R74" s="3"/>
      <c r="S74"/>
    </row>
    <row r="75" spans="1:19" x14ac:dyDescent="0.3">
      <c r="J75" s="132"/>
      <c r="K75" s="132"/>
    </row>
    <row r="76" spans="1:19" s="7" customFormat="1" x14ac:dyDescent="0.3">
      <c r="A76" s="8"/>
      <c r="B76" s="8"/>
      <c r="C76" s="8"/>
      <c r="D76" s="3"/>
      <c r="E76" s="26" t="s">
        <v>356</v>
      </c>
      <c r="F76" s="3"/>
      <c r="G76" s="3"/>
      <c r="H76" s="3"/>
      <c r="I76" s="42"/>
      <c r="J76" s="131"/>
      <c r="K76" s="131"/>
      <c r="L76" s="3"/>
      <c r="M76" s="3"/>
      <c r="N76" s="3"/>
      <c r="O76" s="3"/>
      <c r="P76" s="3"/>
      <c r="Q76" s="3"/>
      <c r="R76" s="3"/>
      <c r="S76"/>
    </row>
    <row r="77" spans="1:19" x14ac:dyDescent="0.3">
      <c r="F77" s="8" t="s">
        <v>277</v>
      </c>
      <c r="H77" s="126" t="s">
        <v>351</v>
      </c>
      <c r="J77" s="132">
        <f>J66+J74</f>
        <v>0</v>
      </c>
      <c r="K77" s="132">
        <f>K66+K74</f>
        <v>0</v>
      </c>
    </row>
    <row r="78" spans="1:19" x14ac:dyDescent="0.3">
      <c r="F78" s="48" t="s">
        <v>229</v>
      </c>
      <c r="G78" s="48"/>
      <c r="H78" s="126" t="s">
        <v>351</v>
      </c>
      <c r="J78" s="132">
        <f>J67</f>
        <v>0</v>
      </c>
      <c r="K78" s="132">
        <f>K67</f>
        <v>0</v>
      </c>
    </row>
    <row r="79" spans="1:19" x14ac:dyDescent="0.3">
      <c r="F79" s="48" t="s">
        <v>357</v>
      </c>
      <c r="G79" s="48"/>
      <c r="H79" s="126" t="s">
        <v>351</v>
      </c>
      <c r="J79" s="132">
        <f>J77+J78</f>
        <v>0</v>
      </c>
      <c r="K79" s="132">
        <f>K77+K78</f>
        <v>0</v>
      </c>
    </row>
    <row r="80" spans="1:19" x14ac:dyDescent="0.3">
      <c r="F80" s="46" t="s">
        <v>358</v>
      </c>
      <c r="G80" s="46"/>
      <c r="H80" s="126" t="s">
        <v>102</v>
      </c>
      <c r="J80" s="133" t="e">
        <f>J77/J61*100</f>
        <v>#DIV/0!</v>
      </c>
      <c r="K80" s="133" t="e">
        <f>K77/K61*100</f>
        <v>#DIV/0!</v>
      </c>
    </row>
    <row r="81" spans="1:20" x14ac:dyDescent="0.3">
      <c r="F81" s="46" t="s">
        <v>359</v>
      </c>
      <c r="G81" s="46"/>
      <c r="H81" s="129" t="s">
        <v>230</v>
      </c>
      <c r="J81" s="133">
        <f>IF($J$17="No",$J$33,$K$33)</f>
        <v>0</v>
      </c>
      <c r="K81" s="133">
        <f>IF($J$17="No",$J$36,$K$36)</f>
        <v>0</v>
      </c>
    </row>
    <row r="82" spans="1:20" x14ac:dyDescent="0.3"/>
    <row r="83" spans="1:20" customFormat="1" x14ac:dyDescent="0.3">
      <c r="A83" s="15"/>
      <c r="B83" s="15" t="s">
        <v>76</v>
      </c>
      <c r="C83" s="15"/>
      <c r="D83" s="15"/>
      <c r="E83" s="15"/>
      <c r="F83" s="15"/>
      <c r="G83" s="15"/>
      <c r="H83" s="15"/>
      <c r="I83" s="37"/>
      <c r="J83" s="15"/>
      <c r="K83" s="15"/>
      <c r="L83" s="15"/>
      <c r="M83" s="91"/>
      <c r="N83" s="91"/>
      <c r="O83" s="91"/>
      <c r="P83" s="91"/>
      <c r="Q83" s="91"/>
      <c r="R83" s="91"/>
      <c r="S83" s="91"/>
      <c r="T83" s="91"/>
    </row>
  </sheetData>
  <sheetProtection algorithmName="SHA-512" hashValue="4jz+v1VgEDIspz/8lLI5Zgvun5MY1s9B8qLtuwg3kKvX2xBQ77tWscE2zzVD97i/k1+xSMFvlRgKXGGua+tSzw==" saltValue="T+E/tvxeMxuQGU0fGJciBw==" spinCount="100000" sheet="1" selectLockedCells="1" selectUnlockedCells="1"/>
  <mergeCells count="1">
    <mergeCell ref="F6:K9"/>
  </mergeCells>
  <hyperlinks>
    <hyperlink ref="A3" location="Intro!A1" display="Return to Intro tab" xr:uid="{5DBBFB96-CB10-4304-B03B-E30BA0101509}"/>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CA431-BA34-4326-A90A-A8C7B14315D1}">
  <sheetPr codeName="Sheet7">
    <tabColor theme="2"/>
  </sheetPr>
  <dimension ref="B2"/>
  <sheetViews>
    <sheetView workbookViewId="0"/>
  </sheetViews>
  <sheetFormatPr defaultColWidth="8" defaultRowHeight="13" x14ac:dyDescent="0.3"/>
  <cols>
    <col min="1" max="1" width="2.54296875" style="22" customWidth="1"/>
    <col min="2" max="16384" width="8" style="22"/>
  </cols>
  <sheetData>
    <row r="2" spans="2:2" ht="29" x14ac:dyDescent="0.3">
      <c r="B2" s="21" t="s">
        <v>360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8AAC1-8B8C-43E8-A9C5-7F5680C019E6}">
  <sheetPr>
    <tabColor rgb="FF5A85D7"/>
  </sheetPr>
  <dimension ref="A1:AB67"/>
  <sheetViews>
    <sheetView showGridLines="0" zoomScale="90" zoomScaleNormal="90" workbookViewId="0">
      <pane xSplit="10" ySplit="5" topLeftCell="K39" activePane="bottomRight" state="frozen"/>
      <selection pane="topRight" activeCell="W16" sqref="W16"/>
      <selection pane="bottomLeft" activeCell="W16" sqref="W16"/>
      <selection pane="bottomRight" activeCell="B16" sqref="B16"/>
    </sheetView>
  </sheetViews>
  <sheetFormatPr defaultColWidth="0" defaultRowHeight="13" zeroHeight="1" outlineLevelCol="1" x14ac:dyDescent="0.3"/>
  <cols>
    <col min="1" max="2" width="2.453125" style="8" customWidth="1"/>
    <col min="3" max="3" width="4.81640625" style="32" customWidth="1"/>
    <col min="4" max="4" width="2.453125" style="26" customWidth="1"/>
    <col min="5" max="5" width="38.453125" style="8" bestFit="1" customWidth="1"/>
    <col min="6" max="6" width="2.54296875" style="8" customWidth="1"/>
    <col min="7" max="7" width="10.54296875" style="41" customWidth="1"/>
    <col min="8" max="8" width="2.54296875" style="41" customWidth="1"/>
    <col min="9" max="9" width="14.453125" style="99" customWidth="1"/>
    <col min="10" max="11" width="2.453125" style="8" customWidth="1"/>
    <col min="12" max="12" width="2.453125" style="4" customWidth="1"/>
    <col min="13" max="20" width="11.453125" style="8" hidden="1" customWidth="1" outlineLevel="1"/>
    <col min="21" max="21" width="11.453125" style="8" customWidth="1" collapsed="1"/>
    <col min="22" max="22" width="12" style="8" customWidth="1"/>
    <col min="23" max="25" width="12.453125" style="8" customWidth="1"/>
    <col min="26" max="27" width="2.453125" style="8" customWidth="1"/>
    <col min="28" max="28" width="0" style="55" hidden="1" customWidth="1"/>
    <col min="29" max="16384" width="8.54296875" style="55" hidden="1"/>
  </cols>
  <sheetData>
    <row r="1" spans="1:27" s="89" customFormat="1" ht="17.5" x14ac:dyDescent="0.3">
      <c r="A1" s="11" t="s">
        <v>74</v>
      </c>
      <c r="B1" s="11"/>
      <c r="C1" s="11"/>
      <c r="D1" s="11"/>
      <c r="E1" s="11"/>
      <c r="F1" s="11"/>
      <c r="G1" s="37"/>
      <c r="H1" s="37"/>
      <c r="I1" s="93"/>
      <c r="J1" s="11"/>
      <c r="K1" s="11"/>
      <c r="L1" s="11"/>
      <c r="M1" s="11"/>
      <c r="N1" s="11"/>
      <c r="O1" s="11"/>
      <c r="P1" s="11"/>
      <c r="Q1" s="11"/>
      <c r="R1" s="11"/>
      <c r="S1" s="11"/>
      <c r="T1" s="11"/>
      <c r="U1" s="11"/>
      <c r="V1" s="11"/>
      <c r="W1" s="13"/>
      <c r="X1" s="13"/>
      <c r="Y1" s="13"/>
      <c r="Z1" s="11"/>
      <c r="AA1" s="11"/>
    </row>
    <row r="2" spans="1:27" s="90" customFormat="1" x14ac:dyDescent="0.3">
      <c r="A2" s="14"/>
      <c r="B2" s="14"/>
      <c r="C2" s="14"/>
      <c r="D2" s="14"/>
      <c r="E2" s="14"/>
      <c r="F2" s="14"/>
      <c r="G2" s="38"/>
      <c r="H2" s="38"/>
      <c r="I2" s="94"/>
      <c r="J2" s="14"/>
      <c r="K2" s="14"/>
      <c r="L2" s="14"/>
      <c r="M2" s="14"/>
      <c r="N2" s="14"/>
      <c r="O2" s="14"/>
      <c r="P2" s="14"/>
      <c r="Q2" s="14"/>
      <c r="R2" s="14"/>
      <c r="S2" s="14"/>
      <c r="T2" s="14"/>
      <c r="U2" s="14"/>
      <c r="V2" s="14"/>
      <c r="W2" s="14"/>
      <c r="X2" s="14"/>
      <c r="Y2" s="14"/>
      <c r="Z2" s="14"/>
      <c r="AA2" s="14"/>
    </row>
    <row r="3" spans="1:27" s="56" customFormat="1" x14ac:dyDescent="0.3">
      <c r="A3" s="31" t="s">
        <v>176</v>
      </c>
      <c r="B3"/>
      <c r="C3" s="3"/>
      <c r="D3" s="33"/>
      <c r="E3"/>
      <c r="F3"/>
      <c r="G3" s="39"/>
      <c r="H3" s="39"/>
      <c r="I3" s="95"/>
      <c r="J3"/>
      <c r="K3"/>
      <c r="L3"/>
      <c r="M3"/>
      <c r="N3"/>
      <c r="O3"/>
      <c r="P3"/>
      <c r="Q3"/>
      <c r="R3"/>
      <c r="S3"/>
      <c r="T3"/>
      <c r="U3"/>
      <c r="V3"/>
      <c r="W3"/>
      <c r="X3"/>
      <c r="Y3"/>
      <c r="Z3"/>
      <c r="AA3"/>
    </row>
    <row r="4" spans="1:27" ht="13.5" customHeight="1" x14ac:dyDescent="0.3">
      <c r="D4" s="32"/>
      <c r="E4" s="32"/>
      <c r="F4" s="32"/>
      <c r="G4" s="40"/>
      <c r="H4" s="40"/>
      <c r="I4" s="96"/>
      <c r="J4" s="32"/>
      <c r="K4" s="32"/>
    </row>
    <row r="5" spans="1:27" s="56" customFormat="1" x14ac:dyDescent="0.3">
      <c r="A5"/>
      <c r="B5" s="23"/>
      <c r="C5" s="23"/>
      <c r="D5" s="23"/>
      <c r="E5" s="23" t="s">
        <v>361</v>
      </c>
      <c r="F5" s="23"/>
      <c r="G5" s="23" t="s">
        <v>362</v>
      </c>
      <c r="H5" s="23"/>
      <c r="I5" s="97"/>
      <c r="J5" s="23"/>
      <c r="K5" s="23"/>
      <c r="L5" s="23"/>
      <c r="M5" s="2" t="s">
        <v>363</v>
      </c>
      <c r="N5" s="2" t="s">
        <v>364</v>
      </c>
      <c r="O5" s="2" t="s">
        <v>365</v>
      </c>
      <c r="P5" s="2" t="s">
        <v>366</v>
      </c>
      <c r="Q5" s="2" t="s">
        <v>367</v>
      </c>
      <c r="R5" s="2" t="s">
        <v>368</v>
      </c>
      <c r="S5" s="2" t="s">
        <v>369</v>
      </c>
      <c r="T5" s="2" t="s">
        <v>370</v>
      </c>
      <c r="U5" s="2" t="s">
        <v>371</v>
      </c>
      <c r="V5" s="2" t="s">
        <v>372</v>
      </c>
      <c r="W5" s="2" t="s">
        <v>180</v>
      </c>
      <c r="X5" s="2" t="s">
        <v>373</v>
      </c>
      <c r="Y5" s="2" t="s">
        <v>374</v>
      </c>
      <c r="Z5" s="23"/>
      <c r="AA5" s="92"/>
    </row>
    <row r="6" spans="1:27" ht="13.4" customHeight="1" x14ac:dyDescent="0.3">
      <c r="E6"/>
      <c r="F6"/>
      <c r="G6" s="10"/>
      <c r="H6" s="10"/>
      <c r="I6" s="10"/>
      <c r="J6" s="6"/>
      <c r="K6" s="6"/>
      <c r="L6"/>
      <c r="M6"/>
      <c r="N6"/>
      <c r="O6"/>
      <c r="P6"/>
      <c r="Q6"/>
      <c r="R6"/>
      <c r="S6"/>
      <c r="T6"/>
      <c r="U6"/>
      <c r="V6"/>
      <c r="W6"/>
      <c r="X6"/>
      <c r="Y6"/>
      <c r="Z6"/>
      <c r="AA6"/>
    </row>
    <row r="7" spans="1:27" s="56" customFormat="1" x14ac:dyDescent="0.3">
      <c r="A7"/>
      <c r="B7" s="15" t="s">
        <v>44</v>
      </c>
      <c r="C7" s="15"/>
      <c r="D7" s="15"/>
      <c r="E7" s="15"/>
      <c r="F7" s="15"/>
      <c r="G7" s="37"/>
      <c r="H7" s="37"/>
      <c r="I7" s="98"/>
      <c r="J7" s="15"/>
      <c r="K7" s="15"/>
      <c r="L7" s="15"/>
      <c r="M7" s="15"/>
      <c r="N7" s="15"/>
      <c r="O7" s="15"/>
      <c r="P7" s="15"/>
      <c r="Q7" s="15"/>
      <c r="R7" s="15"/>
      <c r="S7" s="15"/>
      <c r="T7" s="15"/>
      <c r="U7" s="15"/>
      <c r="V7" s="15"/>
      <c r="W7" s="15"/>
      <c r="X7" s="15"/>
      <c r="Y7" s="15"/>
      <c r="Z7" s="15"/>
      <c r="AA7" s="91"/>
    </row>
    <row r="8" spans="1:27" x14ac:dyDescent="0.3">
      <c r="E8" s="5" t="s">
        <v>75</v>
      </c>
      <c r="F8" s="5"/>
      <c r="AA8" s="55"/>
    </row>
    <row r="9" spans="1:27" x14ac:dyDescent="0.3">
      <c r="C9" s="3"/>
      <c r="E9" s="44" t="s">
        <v>375</v>
      </c>
      <c r="AA9" s="55"/>
    </row>
    <row r="10" spans="1:27" x14ac:dyDescent="0.3">
      <c r="C10" s="3"/>
      <c r="E10" s="44"/>
      <c r="AA10" s="55"/>
    </row>
    <row r="11" spans="1:27" s="56" customFormat="1" x14ac:dyDescent="0.3">
      <c r="A11" s="8"/>
      <c r="B11" s="15" t="s">
        <v>376</v>
      </c>
      <c r="C11" s="15"/>
      <c r="D11" s="15"/>
      <c r="E11" s="15"/>
      <c r="F11" s="15"/>
      <c r="G11" s="37"/>
      <c r="H11" s="37"/>
      <c r="I11" s="98"/>
      <c r="J11" s="15"/>
      <c r="K11" s="15"/>
      <c r="L11" s="15"/>
      <c r="M11" s="15"/>
      <c r="N11" s="15"/>
      <c r="O11" s="15"/>
      <c r="P11" s="15"/>
      <c r="Q11" s="15"/>
      <c r="R11" s="15"/>
      <c r="S11" s="15"/>
      <c r="T11" s="15"/>
      <c r="U11" s="15"/>
      <c r="V11" s="15"/>
      <c r="W11" s="15"/>
      <c r="X11" s="15"/>
      <c r="Y11" s="15"/>
      <c r="Z11" s="15"/>
      <c r="AA11" s="91"/>
    </row>
    <row r="12" spans="1:27" x14ac:dyDescent="0.3">
      <c r="AA12" s="55"/>
    </row>
    <row r="13" spans="1:27" x14ac:dyDescent="0.3">
      <c r="C13" s="24" t="s">
        <v>377</v>
      </c>
      <c r="D13" s="24"/>
      <c r="E13" s="24"/>
      <c r="F13" s="24"/>
      <c r="G13" s="24"/>
      <c r="H13" s="24"/>
      <c r="I13" s="97"/>
      <c r="J13" s="24"/>
      <c r="K13" s="24"/>
      <c r="L13" s="24"/>
      <c r="M13" s="24"/>
      <c r="N13" s="24"/>
      <c r="O13" s="24"/>
      <c r="P13" s="24"/>
      <c r="Q13" s="24"/>
      <c r="R13" s="24"/>
      <c r="S13" s="24"/>
      <c r="T13" s="24"/>
      <c r="U13" s="24"/>
      <c r="V13" s="24"/>
      <c r="W13" s="24"/>
      <c r="X13" s="24"/>
      <c r="Y13" s="24"/>
      <c r="Z13" s="24"/>
      <c r="AA13" s="88"/>
    </row>
    <row r="14" spans="1:27" x14ac:dyDescent="0.3">
      <c r="C14" s="57"/>
      <c r="E14" s="26"/>
      <c r="F14" s="26"/>
      <c r="G14" s="43"/>
      <c r="H14" s="43"/>
      <c r="I14" s="100"/>
      <c r="J14" s="26"/>
      <c r="K14" s="26"/>
      <c r="L14" s="26"/>
      <c r="M14" s="26"/>
      <c r="N14" s="26"/>
      <c r="O14" s="26"/>
      <c r="P14" s="26"/>
      <c r="Q14" s="26"/>
      <c r="R14" s="26"/>
      <c r="S14" s="26"/>
      <c r="T14" s="26"/>
      <c r="U14" s="26"/>
      <c r="V14" s="26"/>
      <c r="W14" s="26"/>
      <c r="X14" s="26"/>
      <c r="Y14" s="26"/>
      <c r="Z14" s="26"/>
      <c r="AA14" s="57"/>
    </row>
    <row r="15" spans="1:27" x14ac:dyDescent="0.3">
      <c r="C15" s="26">
        <v>1.2</v>
      </c>
      <c r="D15" s="26" t="s">
        <v>223</v>
      </c>
      <c r="AA15" s="55"/>
    </row>
    <row r="16" spans="1:27" x14ac:dyDescent="0.3">
      <c r="C16" s="26"/>
      <c r="E16" t="s">
        <v>378</v>
      </c>
      <c r="F16"/>
      <c r="G16" s="44" t="s">
        <v>102</v>
      </c>
      <c r="H16" s="44"/>
      <c r="I16" s="95"/>
      <c r="M16" s="201"/>
      <c r="N16" s="201"/>
      <c r="O16" s="201"/>
      <c r="P16" s="201"/>
      <c r="Q16" s="201"/>
      <c r="R16" s="201"/>
      <c r="S16" s="201"/>
      <c r="T16" s="201"/>
      <c r="U16" s="201">
        <v>158.02000000000001</v>
      </c>
      <c r="V16" s="201">
        <v>176.45</v>
      </c>
      <c r="W16" s="201">
        <v>208.27</v>
      </c>
      <c r="X16" s="201"/>
      <c r="Y16" s="201"/>
      <c r="AA16" s="55"/>
    </row>
    <row r="17" spans="1:27" x14ac:dyDescent="0.3">
      <c r="C17" s="26"/>
      <c r="E17" t="s">
        <v>379</v>
      </c>
      <c r="F17"/>
      <c r="G17" s="44" t="s">
        <v>102</v>
      </c>
      <c r="H17" s="44"/>
      <c r="I17" s="95"/>
      <c r="M17" s="202"/>
      <c r="N17" s="202"/>
      <c r="O17" s="202"/>
      <c r="P17" s="202"/>
      <c r="Q17" s="202"/>
      <c r="R17" s="202"/>
      <c r="S17" s="202"/>
      <c r="T17" s="202"/>
      <c r="U17" s="202">
        <v>158.02000000000001</v>
      </c>
      <c r="V17" s="202">
        <v>176.45</v>
      </c>
      <c r="W17" s="201">
        <v>208.27</v>
      </c>
      <c r="X17" s="202"/>
      <c r="Y17" s="202"/>
      <c r="AA17" s="55"/>
    </row>
    <row r="18" spans="1:27" x14ac:dyDescent="0.3">
      <c r="C18" s="26"/>
      <c r="E18" t="s">
        <v>380</v>
      </c>
      <c r="F18"/>
      <c r="G18" s="44" t="s">
        <v>102</v>
      </c>
      <c r="H18" s="44"/>
      <c r="I18" s="95"/>
      <c r="M18" s="203"/>
      <c r="N18" s="203"/>
      <c r="O18" s="203"/>
      <c r="P18" s="203"/>
      <c r="Q18" s="203"/>
      <c r="R18" s="203"/>
      <c r="S18" s="203"/>
      <c r="T18" s="203"/>
      <c r="U18" s="203">
        <v>158.02000000000001</v>
      </c>
      <c r="V18" s="203">
        <v>176.45</v>
      </c>
      <c r="W18" s="201">
        <v>208.27</v>
      </c>
      <c r="X18" s="203"/>
      <c r="Y18" s="203"/>
      <c r="AA18" s="55"/>
    </row>
    <row r="19" spans="1:27" s="56" customFormat="1" x14ac:dyDescent="0.3">
      <c r="A19"/>
      <c r="B19"/>
      <c r="C19"/>
      <c r="D19" s="26"/>
      <c r="E19" t="s">
        <v>381</v>
      </c>
      <c r="F19"/>
      <c r="G19" s="44" t="s">
        <v>102</v>
      </c>
      <c r="H19" s="39"/>
      <c r="I19" s="95"/>
      <c r="J19"/>
      <c r="K19"/>
      <c r="L19"/>
      <c r="M19" s="203"/>
      <c r="N19" s="203"/>
      <c r="O19" s="203"/>
      <c r="P19" s="203"/>
      <c r="Q19" s="203"/>
      <c r="R19" s="203"/>
      <c r="S19" s="203"/>
      <c r="T19" s="203"/>
      <c r="U19" s="203">
        <v>100.91</v>
      </c>
      <c r="V19" s="203">
        <v>112.68</v>
      </c>
      <c r="W19" s="201">
        <v>133</v>
      </c>
      <c r="X19" s="203"/>
      <c r="Y19" s="203"/>
      <c r="Z19"/>
    </row>
    <row r="20" spans="1:27" s="56" customFormat="1" x14ac:dyDescent="0.3">
      <c r="A20" s="8"/>
      <c r="B20"/>
      <c r="C20" s="33"/>
      <c r="D20" s="26"/>
      <c r="E20" t="s">
        <v>382</v>
      </c>
      <c r="F20"/>
      <c r="G20" s="44" t="s">
        <v>102</v>
      </c>
      <c r="H20" s="39"/>
      <c r="I20" s="95"/>
      <c r="J20"/>
      <c r="K20"/>
      <c r="L20"/>
      <c r="M20" s="201"/>
      <c r="N20" s="201"/>
      <c r="O20" s="201"/>
      <c r="P20" s="201"/>
      <c r="Q20" s="201"/>
      <c r="R20" s="201"/>
      <c r="S20" s="201"/>
      <c r="T20" s="201"/>
      <c r="U20" s="201">
        <v>85.17</v>
      </c>
      <c r="V20" s="201">
        <v>95.1</v>
      </c>
      <c r="W20" s="201">
        <v>112.25</v>
      </c>
      <c r="X20" s="201"/>
      <c r="Y20" s="201"/>
      <c r="Z20"/>
    </row>
    <row r="21" spans="1:27" s="56" customFormat="1" x14ac:dyDescent="0.3">
      <c r="A21" s="8"/>
      <c r="B21"/>
      <c r="C21" s="33"/>
      <c r="D21" s="26"/>
      <c r="E21"/>
      <c r="F21"/>
      <c r="G21" s="39"/>
      <c r="H21" s="39"/>
      <c r="I21" s="95"/>
      <c r="J21"/>
      <c r="K21"/>
      <c r="L21"/>
      <c r="M21" s="204"/>
      <c r="N21" s="204"/>
      <c r="O21" s="204"/>
      <c r="P21" s="204"/>
      <c r="Q21" s="204"/>
      <c r="R21" s="204"/>
      <c r="S21" s="204"/>
      <c r="T21" s="204"/>
      <c r="U21" s="204"/>
      <c r="V21" s="232"/>
      <c r="W21" s="204"/>
      <c r="X21" s="204"/>
      <c r="Y21" s="204"/>
      <c r="Z21"/>
    </row>
    <row r="22" spans="1:27" x14ac:dyDescent="0.3">
      <c r="C22" s="26">
        <v>1.3</v>
      </c>
      <c r="D22" s="26" t="s">
        <v>224</v>
      </c>
      <c r="M22" s="204"/>
      <c r="N22" s="204"/>
      <c r="O22" s="204"/>
      <c r="P22" s="204"/>
      <c r="Q22" s="204"/>
      <c r="R22" s="204"/>
      <c r="S22" s="204"/>
      <c r="T22" s="204"/>
      <c r="U22" s="204"/>
      <c r="V22" s="232"/>
      <c r="W22" s="204"/>
      <c r="X22" s="204"/>
      <c r="Y22" s="204"/>
      <c r="AA22" s="55"/>
    </row>
    <row r="23" spans="1:27" x14ac:dyDescent="0.3">
      <c r="C23" s="26"/>
      <c r="E23" t="s">
        <v>378</v>
      </c>
      <c r="F23"/>
      <c r="G23" s="44" t="s">
        <v>102</v>
      </c>
      <c r="H23" s="44"/>
      <c r="I23" s="95"/>
      <c r="M23" s="201"/>
      <c r="N23" s="201"/>
      <c r="O23" s="201"/>
      <c r="P23" s="201"/>
      <c r="Q23" s="201"/>
      <c r="R23" s="201"/>
      <c r="S23" s="201"/>
      <c r="T23" s="201"/>
      <c r="U23" s="201">
        <v>188.76</v>
      </c>
      <c r="V23" s="201">
        <v>199.38</v>
      </c>
      <c r="W23" s="201">
        <v>259.92</v>
      </c>
      <c r="X23" s="201"/>
      <c r="Y23" s="201"/>
      <c r="AA23" s="55"/>
    </row>
    <row r="24" spans="1:27" x14ac:dyDescent="0.3">
      <c r="C24" s="26"/>
      <c r="E24" t="s">
        <v>379</v>
      </c>
      <c r="F24"/>
      <c r="G24" s="44" t="s">
        <v>102</v>
      </c>
      <c r="H24" s="44"/>
      <c r="I24" s="95"/>
      <c r="M24" s="202"/>
      <c r="N24" s="202"/>
      <c r="O24" s="202"/>
      <c r="P24" s="202"/>
      <c r="Q24" s="202"/>
      <c r="R24" s="202"/>
      <c r="S24" s="202"/>
      <c r="T24" s="202"/>
      <c r="U24" s="202">
        <v>188.76</v>
      </c>
      <c r="V24" s="202">
        <v>199.38</v>
      </c>
      <c r="W24" s="201">
        <v>259.92</v>
      </c>
      <c r="X24" s="202"/>
      <c r="Y24" s="202"/>
      <c r="AA24" s="55"/>
    </row>
    <row r="25" spans="1:27" x14ac:dyDescent="0.3">
      <c r="C25" s="26"/>
      <c r="E25" t="s">
        <v>380</v>
      </c>
      <c r="F25"/>
      <c r="G25" s="44" t="s">
        <v>102</v>
      </c>
      <c r="H25" s="44"/>
      <c r="I25" s="95"/>
      <c r="M25" s="203"/>
      <c r="N25" s="203"/>
      <c r="O25" s="203"/>
      <c r="P25" s="203"/>
      <c r="Q25" s="203"/>
      <c r="R25" s="203"/>
      <c r="S25" s="203"/>
      <c r="T25" s="203"/>
      <c r="U25" s="203">
        <v>188.76</v>
      </c>
      <c r="V25" s="203">
        <v>199.38</v>
      </c>
      <c r="W25" s="201">
        <v>259.92</v>
      </c>
      <c r="X25" s="203"/>
      <c r="Y25" s="203"/>
      <c r="AA25" s="55"/>
    </row>
    <row r="26" spans="1:27" s="56" customFormat="1" x14ac:dyDescent="0.3">
      <c r="A26"/>
      <c r="B26"/>
      <c r="C26"/>
      <c r="D26" s="26"/>
      <c r="E26" t="s">
        <v>381</v>
      </c>
      <c r="F26"/>
      <c r="G26" s="44" t="s">
        <v>102</v>
      </c>
      <c r="H26" s="39"/>
      <c r="I26" s="95"/>
      <c r="J26"/>
      <c r="K26"/>
      <c r="L26"/>
      <c r="M26" s="203"/>
      <c r="N26" s="203"/>
      <c r="O26" s="203"/>
      <c r="P26" s="203"/>
      <c r="Q26" s="203"/>
      <c r="R26" s="203"/>
      <c r="S26" s="203"/>
      <c r="T26" s="203"/>
      <c r="U26" s="203">
        <v>152.57</v>
      </c>
      <c r="V26" s="203">
        <v>161.16</v>
      </c>
      <c r="W26" s="201">
        <v>210.09</v>
      </c>
      <c r="X26" s="203"/>
      <c r="Y26" s="203"/>
      <c r="Z26"/>
    </row>
    <row r="27" spans="1:27" s="56" customFormat="1" x14ac:dyDescent="0.3">
      <c r="A27" s="8"/>
      <c r="B27"/>
      <c r="C27" s="33"/>
      <c r="D27" s="26"/>
      <c r="E27" t="s">
        <v>382</v>
      </c>
      <c r="F27"/>
      <c r="G27" s="44" t="s">
        <v>102</v>
      </c>
      <c r="H27" s="39"/>
      <c r="I27" s="95"/>
      <c r="J27"/>
      <c r="K27"/>
      <c r="L27"/>
      <c r="M27" s="201"/>
      <c r="N27" s="201"/>
      <c r="O27" s="201"/>
      <c r="P27" s="201"/>
      <c r="Q27" s="201"/>
      <c r="R27" s="201"/>
      <c r="S27" s="201"/>
      <c r="T27" s="201"/>
      <c r="U27" s="201">
        <v>139.26</v>
      </c>
      <c r="V27" s="201">
        <v>147.1</v>
      </c>
      <c r="W27" s="201">
        <v>191.76</v>
      </c>
      <c r="X27" s="201"/>
      <c r="Y27" s="201"/>
      <c r="Z27"/>
    </row>
    <row r="28" spans="1:27" s="56" customFormat="1" x14ac:dyDescent="0.3">
      <c r="A28" s="8"/>
      <c r="B28"/>
      <c r="C28" s="33"/>
      <c r="D28" s="26"/>
      <c r="E28" s="8" t="s">
        <v>383</v>
      </c>
      <c r="F28" s="8"/>
      <c r="G28" s="43" t="s">
        <v>230</v>
      </c>
      <c r="H28" s="41"/>
      <c r="I28" s="99"/>
      <c r="J28" s="8"/>
      <c r="K28" s="8"/>
      <c r="L28" s="4"/>
      <c r="M28" s="203"/>
      <c r="N28" s="203"/>
      <c r="O28" s="203"/>
      <c r="P28" s="203"/>
      <c r="Q28" s="203"/>
      <c r="R28" s="203"/>
      <c r="S28" s="203"/>
      <c r="T28" s="203"/>
      <c r="U28" s="203"/>
      <c r="V28" s="207">
        <v>55.96</v>
      </c>
      <c r="W28" s="202">
        <v>78.069999999999993</v>
      </c>
      <c r="X28" s="203"/>
      <c r="Y28" s="203"/>
      <c r="Z28"/>
    </row>
    <row r="29" spans="1:27" x14ac:dyDescent="0.3">
      <c r="C29" s="24" t="s">
        <v>342</v>
      </c>
      <c r="D29" s="24"/>
      <c r="E29" s="24"/>
      <c r="F29" s="24"/>
      <c r="G29" s="24"/>
      <c r="H29" s="24"/>
      <c r="I29" s="97"/>
      <c r="J29" s="24"/>
      <c r="K29" s="24"/>
      <c r="L29" s="24"/>
      <c r="M29" s="205"/>
      <c r="N29" s="205"/>
      <c r="O29" s="205"/>
      <c r="P29" s="205"/>
      <c r="Q29" s="205"/>
      <c r="R29" s="205"/>
      <c r="S29" s="205"/>
      <c r="T29" s="205"/>
      <c r="U29" s="205"/>
      <c r="V29" s="233"/>
      <c r="W29" s="205"/>
      <c r="X29" s="205"/>
      <c r="Y29" s="205"/>
      <c r="Z29" s="24"/>
      <c r="AA29" s="88"/>
    </row>
    <row r="30" spans="1:27" x14ac:dyDescent="0.3">
      <c r="C30" s="57"/>
      <c r="E30" s="26"/>
      <c r="F30" s="26"/>
      <c r="G30" s="43"/>
      <c r="H30" s="43"/>
      <c r="I30" s="100"/>
      <c r="J30" s="26"/>
      <c r="K30" s="26"/>
      <c r="L30" s="26"/>
      <c r="M30" s="206"/>
      <c r="N30" s="206"/>
      <c r="O30" s="206"/>
      <c r="P30" s="206"/>
      <c r="Q30" s="206"/>
      <c r="R30" s="206"/>
      <c r="S30" s="206"/>
      <c r="T30" s="206"/>
      <c r="U30" s="206"/>
      <c r="V30" s="234"/>
      <c r="W30" s="206"/>
      <c r="X30" s="206"/>
      <c r="Y30" s="206"/>
      <c r="Z30" s="26"/>
      <c r="AA30" s="57"/>
    </row>
    <row r="31" spans="1:27" x14ac:dyDescent="0.3">
      <c r="C31" s="32">
        <v>1</v>
      </c>
      <c r="D31" s="26" t="s">
        <v>223</v>
      </c>
      <c r="M31" s="204"/>
      <c r="N31" s="204"/>
      <c r="O31" s="204"/>
      <c r="P31" s="204"/>
      <c r="Q31" s="204"/>
      <c r="R31" s="204"/>
      <c r="S31" s="204"/>
      <c r="T31" s="204"/>
      <c r="U31" s="204"/>
      <c r="V31" s="232"/>
      <c r="W31" s="204"/>
      <c r="X31" s="204"/>
      <c r="Y31" s="204"/>
      <c r="AA31" s="55"/>
    </row>
    <row r="32" spans="1:27" x14ac:dyDescent="0.3">
      <c r="E32" t="s">
        <v>384</v>
      </c>
      <c r="F32"/>
      <c r="G32" s="44" t="s">
        <v>230</v>
      </c>
      <c r="H32" s="44"/>
      <c r="I32" s="95"/>
      <c r="M32" s="202"/>
      <c r="N32" s="202"/>
      <c r="O32" s="202"/>
      <c r="P32" s="202"/>
      <c r="Q32" s="202"/>
      <c r="R32" s="202"/>
      <c r="S32" s="202"/>
      <c r="T32" s="202"/>
      <c r="U32" s="202">
        <v>11.45</v>
      </c>
      <c r="V32" s="202">
        <v>12.79</v>
      </c>
      <c r="W32" s="202">
        <v>15.1</v>
      </c>
      <c r="X32" s="202"/>
      <c r="Y32" s="202"/>
      <c r="AA32" s="55"/>
    </row>
    <row r="33" spans="1:27" x14ac:dyDescent="0.3">
      <c r="E33" t="s">
        <v>385</v>
      </c>
      <c r="F33"/>
      <c r="G33" s="44" t="s">
        <v>102</v>
      </c>
      <c r="H33" s="44"/>
      <c r="I33" s="95"/>
      <c r="M33" s="207"/>
      <c r="N33" s="207"/>
      <c r="O33" s="207"/>
      <c r="P33" s="207"/>
      <c r="Q33" s="207"/>
      <c r="R33" s="207"/>
      <c r="S33" s="207"/>
      <c r="T33" s="207"/>
      <c r="U33" s="202">
        <v>160.81</v>
      </c>
      <c r="V33" s="202">
        <v>179.57</v>
      </c>
      <c r="W33" s="202">
        <v>211.95</v>
      </c>
      <c r="X33" s="202"/>
      <c r="Y33" s="202"/>
      <c r="AA33" s="55"/>
    </row>
    <row r="34" spans="1:27" s="83" customFormat="1" x14ac:dyDescent="0.3">
      <c r="C34" s="32"/>
      <c r="D34" s="84"/>
      <c r="E34" s="85"/>
      <c r="F34" s="85"/>
      <c r="G34" s="86"/>
      <c r="H34" s="86"/>
      <c r="I34" s="101"/>
      <c r="L34" s="87"/>
      <c r="M34" s="208"/>
      <c r="N34" s="208"/>
      <c r="O34" s="208"/>
      <c r="P34" s="208"/>
      <c r="Q34" s="208"/>
      <c r="R34" s="208"/>
      <c r="S34" s="208"/>
      <c r="T34" s="208"/>
      <c r="U34" s="208"/>
      <c r="V34" s="235"/>
      <c r="W34" s="208"/>
      <c r="X34" s="208"/>
      <c r="Y34" s="208"/>
    </row>
    <row r="35" spans="1:27" x14ac:dyDescent="0.3">
      <c r="C35" s="32">
        <v>5</v>
      </c>
      <c r="D35" s="26" t="s">
        <v>224</v>
      </c>
      <c r="M35" s="204"/>
      <c r="N35" s="204"/>
      <c r="O35" s="204"/>
      <c r="P35" s="204"/>
      <c r="Q35" s="204"/>
      <c r="R35" s="204"/>
      <c r="S35" s="204"/>
      <c r="T35" s="204"/>
      <c r="U35" s="204"/>
      <c r="V35" s="232"/>
      <c r="W35" s="204"/>
      <c r="X35" s="204"/>
      <c r="Y35" s="204"/>
      <c r="AA35" s="55"/>
    </row>
    <row r="36" spans="1:27" x14ac:dyDescent="0.3">
      <c r="E36" t="s">
        <v>384</v>
      </c>
      <c r="F36"/>
      <c r="G36" s="44" t="s">
        <v>230</v>
      </c>
      <c r="H36" s="44"/>
      <c r="I36" s="95"/>
      <c r="M36" s="202"/>
      <c r="N36" s="202"/>
      <c r="O36" s="202"/>
      <c r="P36" s="202"/>
      <c r="Q36" s="202"/>
      <c r="R36" s="202"/>
      <c r="S36" s="202"/>
      <c r="T36" s="202"/>
      <c r="U36" s="202">
        <v>0</v>
      </c>
      <c r="V36" s="202">
        <v>0</v>
      </c>
      <c r="W36" s="202">
        <v>0</v>
      </c>
      <c r="X36" s="202"/>
      <c r="Y36" s="202"/>
      <c r="AA36" s="55"/>
    </row>
    <row r="37" spans="1:27" x14ac:dyDescent="0.3">
      <c r="E37" t="s">
        <v>385</v>
      </c>
      <c r="F37"/>
      <c r="G37" s="44" t="s">
        <v>102</v>
      </c>
      <c r="H37" s="44"/>
      <c r="I37" s="95"/>
      <c r="M37" s="203"/>
      <c r="N37" s="203"/>
      <c r="O37" s="203"/>
      <c r="P37" s="203"/>
      <c r="Q37" s="203"/>
      <c r="R37" s="203"/>
      <c r="S37" s="203"/>
      <c r="T37" s="203"/>
      <c r="U37" s="203">
        <v>196.69</v>
      </c>
      <c r="V37" s="207">
        <v>207.77</v>
      </c>
      <c r="W37" s="202">
        <v>270.85000000000002</v>
      </c>
      <c r="X37" s="203"/>
      <c r="Y37" s="203"/>
      <c r="AA37" s="55"/>
    </row>
    <row r="38" spans="1:27" x14ac:dyDescent="0.3">
      <c r="E38" s="8" t="s">
        <v>386</v>
      </c>
      <c r="G38" s="43" t="s">
        <v>230</v>
      </c>
      <c r="M38" s="203"/>
      <c r="N38" s="203"/>
      <c r="O38" s="203"/>
      <c r="P38" s="203"/>
      <c r="Q38" s="203"/>
      <c r="R38" s="203"/>
      <c r="S38" s="203"/>
      <c r="T38" s="203"/>
      <c r="U38" s="203"/>
      <c r="V38" s="207">
        <v>48.1</v>
      </c>
      <c r="W38" s="202">
        <v>70.205160973633724</v>
      </c>
      <c r="X38" s="203"/>
      <c r="Y38" s="203"/>
      <c r="AA38" s="55"/>
    </row>
    <row r="39" spans="1:27" s="56" customFormat="1" x14ac:dyDescent="0.3">
      <c r="A39" s="8"/>
      <c r="B39" s="15" t="s">
        <v>387</v>
      </c>
      <c r="C39" s="15"/>
      <c r="D39" s="15"/>
      <c r="E39" s="15"/>
      <c r="F39" s="15"/>
      <c r="G39" s="37"/>
      <c r="H39" s="37"/>
      <c r="I39" s="98"/>
      <c r="J39" s="15"/>
      <c r="K39" s="15"/>
      <c r="L39" s="15"/>
      <c r="M39" s="209"/>
      <c r="N39" s="209"/>
      <c r="O39" s="209"/>
      <c r="P39" s="209"/>
      <c r="Q39" s="209"/>
      <c r="R39" s="209"/>
      <c r="S39" s="209"/>
      <c r="T39" s="209"/>
      <c r="U39" s="209"/>
      <c r="V39" s="236"/>
      <c r="W39" s="209"/>
      <c r="X39" s="209"/>
      <c r="Y39" s="209"/>
      <c r="Z39" s="15"/>
      <c r="AA39" s="91"/>
    </row>
    <row r="40" spans="1:27" x14ac:dyDescent="0.3">
      <c r="M40" s="204"/>
      <c r="N40" s="204"/>
      <c r="O40" s="204"/>
      <c r="P40" s="204"/>
      <c r="Q40" s="204"/>
      <c r="R40" s="204"/>
      <c r="S40" s="204"/>
      <c r="T40" s="204"/>
      <c r="U40" s="204"/>
      <c r="V40" s="232"/>
      <c r="W40" s="204"/>
      <c r="X40" s="204"/>
      <c r="Y40" s="204"/>
      <c r="AA40" s="55"/>
    </row>
    <row r="41" spans="1:27" x14ac:dyDescent="0.3">
      <c r="C41" s="24" t="s">
        <v>377</v>
      </c>
      <c r="D41" s="24"/>
      <c r="E41" s="24"/>
      <c r="F41" s="24"/>
      <c r="G41" s="24"/>
      <c r="H41" s="24"/>
      <c r="I41" s="97"/>
      <c r="J41" s="24"/>
      <c r="K41" s="24"/>
      <c r="L41" s="24"/>
      <c r="M41" s="205"/>
      <c r="N41" s="205"/>
      <c r="O41" s="205"/>
      <c r="P41" s="205"/>
      <c r="Q41" s="205"/>
      <c r="R41" s="205"/>
      <c r="S41" s="205"/>
      <c r="T41" s="205"/>
      <c r="U41" s="205"/>
      <c r="V41" s="233"/>
      <c r="W41" s="205"/>
      <c r="X41" s="205"/>
      <c r="Y41" s="205"/>
      <c r="Z41" s="24"/>
      <c r="AA41" s="88"/>
    </row>
    <row r="42" spans="1:27" x14ac:dyDescent="0.3">
      <c r="D42" s="57"/>
      <c r="E42" s="26"/>
      <c r="F42" s="26"/>
      <c r="G42" s="43"/>
      <c r="H42" s="43"/>
      <c r="I42" s="100"/>
      <c r="J42" s="26"/>
      <c r="K42" s="26"/>
      <c r="L42" s="26"/>
      <c r="M42" s="206"/>
      <c r="N42" s="206"/>
      <c r="O42" s="206"/>
      <c r="P42" s="206"/>
      <c r="Q42" s="206"/>
      <c r="R42" s="206"/>
      <c r="S42" s="206"/>
      <c r="T42" s="206"/>
      <c r="U42" s="206"/>
      <c r="V42" s="234"/>
      <c r="W42" s="206"/>
      <c r="X42" s="206"/>
      <c r="Y42" s="206"/>
      <c r="Z42" s="26"/>
      <c r="AA42" s="57"/>
    </row>
    <row r="43" spans="1:27" x14ac:dyDescent="0.3">
      <c r="C43" s="32">
        <v>1.2</v>
      </c>
      <c r="D43" s="26" t="s">
        <v>223</v>
      </c>
      <c r="M43" s="204"/>
      <c r="N43" s="204"/>
      <c r="O43" s="204"/>
      <c r="P43" s="204"/>
      <c r="Q43" s="204"/>
      <c r="R43" s="204"/>
      <c r="S43" s="204"/>
      <c r="T43" s="204"/>
      <c r="U43" s="204"/>
      <c r="V43" s="232"/>
      <c r="W43" s="204"/>
      <c r="X43" s="204"/>
      <c r="Y43" s="204"/>
      <c r="AA43" s="55"/>
    </row>
    <row r="44" spans="1:27" x14ac:dyDescent="0.3">
      <c r="E44" t="s">
        <v>378</v>
      </c>
      <c r="F44"/>
      <c r="G44" s="44" t="s">
        <v>102</v>
      </c>
      <c r="H44" s="44"/>
      <c r="I44" s="95"/>
      <c r="M44" s="201"/>
      <c r="N44" s="201"/>
      <c r="O44" s="201"/>
      <c r="P44" s="201"/>
      <c r="Q44" s="201"/>
      <c r="R44" s="201"/>
      <c r="S44" s="201"/>
      <c r="T44" s="201"/>
      <c r="U44" s="201">
        <v>87.56</v>
      </c>
      <c r="V44" s="201">
        <v>97.77</v>
      </c>
      <c r="W44" s="201">
        <v>115.55</v>
      </c>
      <c r="X44" s="201"/>
      <c r="Y44" s="201"/>
      <c r="AA44" s="55"/>
    </row>
    <row r="45" spans="1:27" x14ac:dyDescent="0.3">
      <c r="E45" t="s">
        <v>379</v>
      </c>
      <c r="F45"/>
      <c r="G45" s="44" t="s">
        <v>102</v>
      </c>
      <c r="H45" s="44"/>
      <c r="I45" s="95"/>
      <c r="M45" s="202"/>
      <c r="N45" s="202"/>
      <c r="O45" s="202"/>
      <c r="P45" s="202"/>
      <c r="Q45" s="202"/>
      <c r="R45" s="202"/>
      <c r="S45" s="202"/>
      <c r="T45" s="202"/>
      <c r="U45" s="202">
        <v>87.56</v>
      </c>
      <c r="V45" s="202">
        <v>97.77</v>
      </c>
      <c r="W45" s="201">
        <v>115.55</v>
      </c>
      <c r="X45" s="202"/>
      <c r="Y45" s="202"/>
      <c r="AA45" s="55"/>
    </row>
    <row r="46" spans="1:27" x14ac:dyDescent="0.3">
      <c r="E46" t="s">
        <v>380</v>
      </c>
      <c r="F46"/>
      <c r="G46" s="44" t="s">
        <v>102</v>
      </c>
      <c r="H46" s="44"/>
      <c r="I46" s="95"/>
      <c r="M46" s="203"/>
      <c r="N46" s="203"/>
      <c r="O46" s="203"/>
      <c r="P46" s="203"/>
      <c r="Q46" s="203"/>
      <c r="R46" s="203"/>
      <c r="S46" s="203"/>
      <c r="T46" s="203"/>
      <c r="U46" s="203">
        <v>87.56</v>
      </c>
      <c r="V46" s="203">
        <v>97.77</v>
      </c>
      <c r="W46" s="201">
        <v>115.55</v>
      </c>
      <c r="X46" s="203"/>
      <c r="Y46" s="203"/>
      <c r="AA46" s="55"/>
    </row>
    <row r="47" spans="1:27" s="56" customFormat="1" x14ac:dyDescent="0.3">
      <c r="A47"/>
      <c r="B47"/>
      <c r="C47"/>
      <c r="D47"/>
      <c r="E47" t="s">
        <v>381</v>
      </c>
      <c r="F47"/>
      <c r="G47" s="44" t="s">
        <v>102</v>
      </c>
      <c r="H47" s="39"/>
      <c r="I47" s="95"/>
      <c r="J47"/>
      <c r="K47"/>
      <c r="L47"/>
      <c r="M47" s="203"/>
      <c r="N47" s="203"/>
      <c r="O47" s="203"/>
      <c r="P47" s="203"/>
      <c r="Q47" s="203"/>
      <c r="R47" s="203"/>
      <c r="S47" s="203"/>
      <c r="T47" s="203"/>
      <c r="U47" s="203">
        <v>76.92</v>
      </c>
      <c r="V47" s="203">
        <v>85.89</v>
      </c>
      <c r="W47" s="201">
        <v>101.53</v>
      </c>
      <c r="X47" s="203"/>
      <c r="Y47" s="203"/>
      <c r="Z47"/>
    </row>
    <row r="48" spans="1:27" s="56" customFormat="1" x14ac:dyDescent="0.3">
      <c r="A48" s="8"/>
      <c r="B48"/>
      <c r="C48" s="3"/>
      <c r="D48" s="33"/>
      <c r="E48" t="s">
        <v>382</v>
      </c>
      <c r="F48"/>
      <c r="G48" s="44" t="s">
        <v>102</v>
      </c>
      <c r="H48" s="39"/>
      <c r="I48" s="95"/>
      <c r="J48"/>
      <c r="K48"/>
      <c r="L48"/>
      <c r="M48" s="201"/>
      <c r="N48" s="201"/>
      <c r="O48" s="201"/>
      <c r="P48" s="201"/>
      <c r="Q48" s="201"/>
      <c r="R48" s="201"/>
      <c r="S48" s="201"/>
      <c r="T48" s="201"/>
      <c r="U48" s="201">
        <v>76.92</v>
      </c>
      <c r="V48" s="201">
        <v>85.89</v>
      </c>
      <c r="W48" s="201">
        <v>101.53</v>
      </c>
      <c r="X48" s="201"/>
      <c r="Y48" s="201"/>
      <c r="Z48"/>
    </row>
    <row r="49" spans="1:27" s="56" customFormat="1" x14ac:dyDescent="0.3">
      <c r="A49" s="8"/>
      <c r="B49"/>
      <c r="C49" s="3"/>
      <c r="D49" s="33"/>
      <c r="E49"/>
      <c r="F49"/>
      <c r="G49" s="39"/>
      <c r="H49" s="39"/>
      <c r="I49" s="95"/>
      <c r="J49"/>
      <c r="K49"/>
      <c r="L49"/>
      <c r="M49" s="204"/>
      <c r="N49" s="204"/>
      <c r="O49" s="204"/>
      <c r="P49" s="204"/>
      <c r="Q49" s="204"/>
      <c r="R49" s="204"/>
      <c r="S49" s="204"/>
      <c r="T49" s="204"/>
      <c r="U49" s="204"/>
      <c r="V49" s="204"/>
      <c r="W49" s="204"/>
      <c r="X49" s="204"/>
      <c r="Y49" s="204"/>
      <c r="Z49"/>
    </row>
    <row r="50" spans="1:27" x14ac:dyDescent="0.3">
      <c r="C50" s="32">
        <v>1.3</v>
      </c>
      <c r="D50" s="26" t="s">
        <v>224</v>
      </c>
      <c r="M50" s="204"/>
      <c r="N50" s="204"/>
      <c r="O50" s="204"/>
      <c r="P50" s="204"/>
      <c r="Q50" s="204"/>
      <c r="R50" s="204"/>
      <c r="S50" s="204"/>
      <c r="T50" s="204"/>
      <c r="U50" s="204"/>
      <c r="V50" s="204"/>
      <c r="W50" s="204"/>
      <c r="X50" s="204"/>
      <c r="Y50" s="204"/>
      <c r="AA50" s="55"/>
    </row>
    <row r="51" spans="1:27" x14ac:dyDescent="0.3">
      <c r="E51" t="s">
        <v>378</v>
      </c>
      <c r="F51"/>
      <c r="G51" s="44" t="s">
        <v>102</v>
      </c>
      <c r="H51" s="44"/>
      <c r="I51" s="95"/>
      <c r="M51" s="201"/>
      <c r="N51" s="201"/>
      <c r="O51" s="201"/>
      <c r="P51" s="201"/>
      <c r="Q51" s="201"/>
      <c r="R51" s="201"/>
      <c r="S51" s="201"/>
      <c r="T51" s="201"/>
      <c r="U51" s="201">
        <v>188.76</v>
      </c>
      <c r="V51" s="201">
        <v>199.38</v>
      </c>
      <c r="W51" s="201">
        <v>259.92</v>
      </c>
      <c r="X51" s="201"/>
      <c r="Y51" s="201"/>
      <c r="AA51" s="55"/>
    </row>
    <row r="52" spans="1:27" x14ac:dyDescent="0.3">
      <c r="E52" t="s">
        <v>379</v>
      </c>
      <c r="F52"/>
      <c r="G52" s="44" t="s">
        <v>102</v>
      </c>
      <c r="H52" s="44"/>
      <c r="I52" s="95"/>
      <c r="M52" s="202"/>
      <c r="N52" s="202"/>
      <c r="O52" s="202"/>
      <c r="P52" s="202"/>
      <c r="Q52" s="202"/>
      <c r="R52" s="202"/>
      <c r="S52" s="202"/>
      <c r="T52" s="202"/>
      <c r="U52" s="202">
        <v>188.76</v>
      </c>
      <c r="V52" s="202">
        <v>199.38</v>
      </c>
      <c r="W52" s="201">
        <v>259.92</v>
      </c>
      <c r="X52" s="202"/>
      <c r="Y52" s="202"/>
      <c r="AA52" s="55"/>
    </row>
    <row r="53" spans="1:27" x14ac:dyDescent="0.3">
      <c r="E53" t="s">
        <v>380</v>
      </c>
      <c r="F53"/>
      <c r="G53" s="44" t="s">
        <v>102</v>
      </c>
      <c r="H53" s="44"/>
      <c r="I53" s="95"/>
      <c r="M53" s="203"/>
      <c r="N53" s="203"/>
      <c r="O53" s="203"/>
      <c r="P53" s="203"/>
      <c r="Q53" s="203"/>
      <c r="R53" s="203"/>
      <c r="S53" s="203"/>
      <c r="T53" s="203"/>
      <c r="U53" s="203">
        <v>188.76</v>
      </c>
      <c r="V53" s="203">
        <v>199.38</v>
      </c>
      <c r="W53" s="201">
        <v>259.92</v>
      </c>
      <c r="X53" s="203"/>
      <c r="Y53" s="203"/>
      <c r="AA53" s="55"/>
    </row>
    <row r="54" spans="1:27" s="56" customFormat="1" x14ac:dyDescent="0.3">
      <c r="A54"/>
      <c r="B54"/>
      <c r="C54"/>
      <c r="D54"/>
      <c r="E54" t="s">
        <v>381</v>
      </c>
      <c r="F54"/>
      <c r="G54" s="44" t="s">
        <v>102</v>
      </c>
      <c r="H54" s="39"/>
      <c r="I54" s="95"/>
      <c r="J54"/>
      <c r="K54"/>
      <c r="L54"/>
      <c r="M54" s="203"/>
      <c r="N54" s="203"/>
      <c r="O54" s="203"/>
      <c r="P54" s="203"/>
      <c r="Q54" s="203"/>
      <c r="R54" s="203"/>
      <c r="S54" s="203"/>
      <c r="T54" s="203"/>
      <c r="U54" s="203">
        <v>152.57</v>
      </c>
      <c r="V54" s="203">
        <v>161.16</v>
      </c>
      <c r="W54" s="201">
        <v>210.09</v>
      </c>
      <c r="X54" s="203"/>
      <c r="Y54" s="203"/>
      <c r="Z54"/>
    </row>
    <row r="55" spans="1:27" s="56" customFormat="1" x14ac:dyDescent="0.3">
      <c r="A55" s="8"/>
      <c r="B55"/>
      <c r="C55" s="3"/>
      <c r="D55" s="33"/>
      <c r="E55" t="s">
        <v>382</v>
      </c>
      <c r="F55"/>
      <c r="G55" s="44" t="s">
        <v>102</v>
      </c>
      <c r="H55" s="39"/>
      <c r="I55" s="95"/>
      <c r="J55"/>
      <c r="K55"/>
      <c r="L55"/>
      <c r="M55" s="201"/>
      <c r="N55" s="201"/>
      <c r="O55" s="201"/>
      <c r="P55" s="201"/>
      <c r="Q55" s="201"/>
      <c r="R55" s="201"/>
      <c r="S55" s="201"/>
      <c r="T55" s="201"/>
      <c r="U55" s="201">
        <v>139.26</v>
      </c>
      <c r="V55" s="201">
        <v>147.1</v>
      </c>
      <c r="W55" s="201">
        <v>191.76</v>
      </c>
      <c r="X55" s="201"/>
      <c r="Y55" s="201"/>
      <c r="Z55"/>
    </row>
    <row r="56" spans="1:27" s="56" customFormat="1" x14ac:dyDescent="0.3">
      <c r="A56" s="8"/>
      <c r="B56"/>
      <c r="C56" s="3"/>
      <c r="D56" s="33"/>
      <c r="E56" s="8" t="s">
        <v>383</v>
      </c>
      <c r="F56" s="8"/>
      <c r="G56" s="43" t="s">
        <v>230</v>
      </c>
      <c r="H56" s="41"/>
      <c r="I56" s="99"/>
      <c r="J56" s="8"/>
      <c r="K56" s="8"/>
      <c r="L56" s="4"/>
      <c r="M56" s="203"/>
      <c r="N56" s="203"/>
      <c r="O56" s="203"/>
      <c r="P56" s="203"/>
      <c r="Q56" s="203"/>
      <c r="R56" s="203"/>
      <c r="S56" s="203"/>
      <c r="T56" s="203"/>
      <c r="U56" s="203"/>
      <c r="V56" s="207">
        <f>V28</f>
        <v>55.96</v>
      </c>
      <c r="W56" s="202">
        <v>78.065299165470307</v>
      </c>
      <c r="X56" s="203"/>
      <c r="Y56" s="203"/>
      <c r="Z56"/>
    </row>
    <row r="57" spans="1:27" x14ac:dyDescent="0.3">
      <c r="C57" s="24" t="s">
        <v>342</v>
      </c>
      <c r="D57" s="24"/>
      <c r="E57" s="24"/>
      <c r="F57" s="24"/>
      <c r="G57" s="24"/>
      <c r="H57" s="24"/>
      <c r="I57" s="97"/>
      <c r="J57" s="24"/>
      <c r="K57" s="24"/>
      <c r="L57" s="24"/>
      <c r="M57" s="205"/>
      <c r="N57" s="205"/>
      <c r="O57" s="205"/>
      <c r="P57" s="205"/>
      <c r="Q57" s="205"/>
      <c r="R57" s="205"/>
      <c r="S57" s="205"/>
      <c r="T57" s="205"/>
      <c r="U57" s="205"/>
      <c r="V57" s="205"/>
      <c r="W57" s="205"/>
      <c r="X57" s="205"/>
      <c r="Y57" s="205"/>
      <c r="Z57" s="24"/>
      <c r="AA57" s="88"/>
    </row>
    <row r="58" spans="1:27" x14ac:dyDescent="0.3">
      <c r="A58" s="55"/>
      <c r="B58" s="55"/>
      <c r="C58" s="88"/>
      <c r="D58" s="88"/>
      <c r="E58" s="88"/>
      <c r="F58" s="88"/>
      <c r="G58" s="88"/>
      <c r="H58" s="88"/>
      <c r="I58" s="102"/>
      <c r="J58" s="88"/>
      <c r="K58" s="88"/>
      <c r="L58" s="88"/>
      <c r="M58" s="210"/>
      <c r="N58" s="210"/>
      <c r="O58" s="210"/>
      <c r="P58" s="210"/>
      <c r="Q58" s="210"/>
      <c r="R58" s="210"/>
      <c r="S58" s="210"/>
      <c r="T58" s="210"/>
      <c r="U58" s="210"/>
      <c r="V58" s="210"/>
      <c r="W58" s="210"/>
      <c r="X58" s="210"/>
      <c r="Y58" s="210"/>
      <c r="Z58" s="88"/>
      <c r="AA58" s="88"/>
    </row>
    <row r="59" spans="1:27" x14ac:dyDescent="0.3">
      <c r="C59" s="32">
        <v>3</v>
      </c>
      <c r="D59" s="26" t="s">
        <v>223</v>
      </c>
      <c r="M59" s="204"/>
      <c r="N59" s="204"/>
      <c r="O59" s="204"/>
      <c r="P59" s="204"/>
      <c r="Q59" s="204"/>
      <c r="R59" s="204"/>
      <c r="S59" s="204"/>
      <c r="T59" s="204"/>
      <c r="U59" s="204"/>
      <c r="V59" s="204"/>
      <c r="W59" s="204"/>
      <c r="X59" s="204"/>
      <c r="Y59" s="204"/>
      <c r="AA59" s="55"/>
    </row>
    <row r="60" spans="1:27" x14ac:dyDescent="0.3">
      <c r="E60" t="s">
        <v>384</v>
      </c>
      <c r="F60"/>
      <c r="G60" s="44" t="s">
        <v>110</v>
      </c>
      <c r="H60" s="44"/>
      <c r="I60" s="95"/>
      <c r="M60" s="202"/>
      <c r="N60" s="202"/>
      <c r="O60" s="202"/>
      <c r="P60" s="202"/>
      <c r="Q60" s="202"/>
      <c r="R60" s="202"/>
      <c r="S60" s="202"/>
      <c r="T60" s="202"/>
      <c r="U60" s="202">
        <v>11.45</v>
      </c>
      <c r="V60" s="202">
        <v>12.79</v>
      </c>
      <c r="W60" s="202">
        <v>15.1</v>
      </c>
      <c r="X60" s="202"/>
      <c r="Y60" s="202"/>
      <c r="AA60" s="55"/>
    </row>
    <row r="61" spans="1:27" x14ac:dyDescent="0.3">
      <c r="E61" t="s">
        <v>385</v>
      </c>
      <c r="F61"/>
      <c r="G61" s="44" t="s">
        <v>102</v>
      </c>
      <c r="H61" s="44"/>
      <c r="I61" s="95"/>
      <c r="M61" s="203"/>
      <c r="N61" s="203"/>
      <c r="O61" s="203"/>
      <c r="P61" s="203"/>
      <c r="Q61" s="203"/>
      <c r="R61" s="203"/>
      <c r="S61" s="203"/>
      <c r="T61" s="203"/>
      <c r="U61" s="203">
        <v>91.09</v>
      </c>
      <c r="V61" s="203">
        <v>101.72</v>
      </c>
      <c r="W61" s="202">
        <v>120.06</v>
      </c>
      <c r="X61" s="203"/>
      <c r="Y61" s="203"/>
      <c r="AA61" s="55"/>
    </row>
    <row r="62" spans="1:27" x14ac:dyDescent="0.3">
      <c r="A62" s="16"/>
      <c r="B62" s="16"/>
      <c r="C62" s="16"/>
      <c r="D62" s="16"/>
      <c r="E62" s="16"/>
      <c r="F62" s="16"/>
      <c r="G62" s="45"/>
      <c r="H62" s="45"/>
      <c r="I62" s="103"/>
      <c r="J62" s="16"/>
      <c r="K62" s="16"/>
      <c r="L62" s="16"/>
      <c r="M62" s="16"/>
      <c r="N62" s="16"/>
      <c r="O62" s="16"/>
      <c r="P62" s="16"/>
      <c r="Q62" s="16"/>
      <c r="R62" s="16"/>
      <c r="S62" s="16"/>
      <c r="T62" s="16"/>
      <c r="U62" s="16"/>
      <c r="V62" s="16"/>
      <c r="W62" s="16"/>
      <c r="X62" s="16"/>
      <c r="Y62" s="16"/>
      <c r="Z62" s="16"/>
      <c r="AA62" s="16"/>
    </row>
    <row r="63" spans="1:27" x14ac:dyDescent="0.3">
      <c r="C63" s="32">
        <v>5</v>
      </c>
      <c r="D63" s="26" t="s">
        <v>224</v>
      </c>
      <c r="M63" s="204"/>
      <c r="N63" s="204"/>
      <c r="O63" s="204"/>
      <c r="P63" s="204"/>
      <c r="Q63" s="204"/>
      <c r="R63" s="204"/>
      <c r="S63" s="204"/>
      <c r="T63" s="204"/>
      <c r="U63" s="204"/>
      <c r="V63" s="204"/>
      <c r="W63" s="204"/>
      <c r="X63" s="204"/>
      <c r="Y63" s="204"/>
      <c r="AA63" s="55"/>
    </row>
    <row r="64" spans="1:27" x14ac:dyDescent="0.3">
      <c r="E64" t="s">
        <v>384</v>
      </c>
      <c r="F64"/>
      <c r="G64" s="44" t="s">
        <v>110</v>
      </c>
      <c r="H64" s="44"/>
      <c r="I64" s="95"/>
      <c r="M64" s="202"/>
      <c r="N64" s="202"/>
      <c r="O64" s="202"/>
      <c r="P64" s="202"/>
      <c r="Q64" s="202"/>
      <c r="R64" s="202"/>
      <c r="S64" s="202"/>
      <c r="T64" s="202"/>
      <c r="U64" s="202">
        <f t="shared" ref="U64:V64" si="0">U36</f>
        <v>0</v>
      </c>
      <c r="V64" s="202">
        <f t="shared" si="0"/>
        <v>0</v>
      </c>
      <c r="W64" s="202">
        <v>0</v>
      </c>
      <c r="X64" s="202"/>
      <c r="Y64" s="202"/>
      <c r="AA64" s="55"/>
    </row>
    <row r="65" spans="1:27" x14ac:dyDescent="0.3">
      <c r="E65" t="s">
        <v>385</v>
      </c>
      <c r="F65"/>
      <c r="G65" s="44" t="s">
        <v>102</v>
      </c>
      <c r="H65" s="44"/>
      <c r="I65" s="95"/>
      <c r="M65" s="203"/>
      <c r="N65" s="203"/>
      <c r="O65" s="203"/>
      <c r="P65" s="203"/>
      <c r="Q65" s="203"/>
      <c r="R65" s="203"/>
      <c r="S65" s="203"/>
      <c r="T65" s="203"/>
      <c r="U65" s="202">
        <f t="shared" ref="U65:V66" si="1">U37</f>
        <v>196.69</v>
      </c>
      <c r="V65" s="202">
        <f t="shared" si="1"/>
        <v>207.77</v>
      </c>
      <c r="W65" s="202">
        <v>270.85000000000002</v>
      </c>
      <c r="X65" s="202"/>
      <c r="Y65" s="203"/>
    </row>
    <row r="66" spans="1:27" x14ac:dyDescent="0.3">
      <c r="A66" s="16"/>
      <c r="B66" s="16"/>
      <c r="C66" s="16"/>
      <c r="D66" s="16"/>
      <c r="E66" s="8" t="s">
        <v>386</v>
      </c>
      <c r="G66" s="43" t="s">
        <v>230</v>
      </c>
      <c r="M66" s="203"/>
      <c r="N66" s="203"/>
      <c r="O66" s="203"/>
      <c r="P66" s="203"/>
      <c r="Q66" s="203"/>
      <c r="R66" s="203"/>
      <c r="S66" s="203"/>
      <c r="T66" s="203"/>
      <c r="U66" s="202"/>
      <c r="V66" s="202">
        <f t="shared" si="1"/>
        <v>48.1</v>
      </c>
      <c r="W66" s="202">
        <v>70.209999999999994</v>
      </c>
      <c r="X66" s="202"/>
      <c r="Y66" s="203"/>
      <c r="Z66" s="16"/>
      <c r="AA66" s="16"/>
    </row>
    <row r="67" spans="1:27" customFormat="1" x14ac:dyDescent="0.3">
      <c r="A67" s="15"/>
      <c r="B67" s="15" t="s">
        <v>76</v>
      </c>
      <c r="C67" s="15"/>
      <c r="D67" s="15"/>
      <c r="E67" s="15"/>
      <c r="F67" s="15"/>
      <c r="G67" s="15"/>
      <c r="H67" s="15"/>
      <c r="I67" s="37"/>
      <c r="J67" s="15"/>
      <c r="K67" s="15"/>
      <c r="L67" s="15"/>
      <c r="M67" s="15"/>
      <c r="N67" s="15"/>
      <c r="O67" s="15"/>
      <c r="P67" s="15"/>
      <c r="Q67" s="15"/>
      <c r="R67" s="15"/>
      <c r="S67" s="15"/>
      <c r="T67" s="15"/>
      <c r="U67" s="15"/>
      <c r="V67" s="15"/>
      <c r="W67" s="15"/>
      <c r="X67" s="15"/>
      <c r="Y67" s="15"/>
      <c r="Z67" s="15"/>
      <c r="AA67" s="15"/>
    </row>
  </sheetData>
  <sheetProtection algorithmName="SHA-512" hashValue="atvZbGtmShTuS0i6pb1RFP2f6hesIsAtQ7RUSk7DvsqojDsaNttMrNF4xc3XWsj9+C6T/ol1tT+nKoOEUXV9RA==" saltValue="h6tnxldDcKmsZhuvorUWcQ==" spinCount="100000" sheet="1" objects="1" scenarios="1" selectLockedCells="1" selectUnlockedCells="1"/>
  <hyperlinks>
    <hyperlink ref="A3" location="Intro!A1" display="Return to Intro tab" xr:uid="{51C5F753-F2A9-49D5-BE60-940F3EB8DE77}"/>
  </hyperlinks>
  <pageMargins left="0.7" right="0.7" top="0.75" bottom="0.75" header="0.3" footer="0.3"/>
  <pageSetup paperSize="9" orientation="portrait" r:id="rId1"/>
  <ignoredErrors>
    <ignoredError sqref="U39:V43 U36:V38 U49:V50 U44:V44 U45:V45 U46:V46 U47:V47 U48:V48 U57:V59 U51:V51 U52:V52 U53:V53 U54:V54 U55:V55 U56:V56 U62:V63 U60:V60 U61:V61 U66:V66 U64:V64 U65:V65 W39:W43 W67 W21:W22 W29:W31 W34:W35 W49:W50 W57:W59 W62:W63"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85600-8F77-4505-BAFD-880ABB321C58}">
  <sheetPr>
    <tabColor theme="0" tint="-0.14999847407452621"/>
  </sheetPr>
  <dimension ref="A1:Y97"/>
  <sheetViews>
    <sheetView showGridLines="0" zoomScale="70" zoomScaleNormal="70" workbookViewId="0"/>
  </sheetViews>
  <sheetFormatPr defaultColWidth="0" defaultRowHeight="13.4" customHeight="1" zeroHeight="1" x14ac:dyDescent="0.3"/>
  <cols>
    <col min="1" max="1" width="4.54296875" customWidth="1"/>
    <col min="2" max="3" width="16.453125" customWidth="1"/>
    <col min="4" max="4" width="15.453125" style="8" customWidth="1"/>
    <col min="5" max="10" width="16.453125" customWidth="1"/>
    <col min="11" max="11" width="44.54296875" customWidth="1"/>
    <col min="12" max="24" width="8.54296875" customWidth="1"/>
    <col min="25" max="16384" width="8.54296875" hidden="1"/>
  </cols>
  <sheetData>
    <row r="1" spans="1:25" s="13" customFormat="1" ht="17.5" x14ac:dyDescent="0.35">
      <c r="A1" s="11" t="str" cm="1">
        <f t="array" aca="1" ref="A1" ca="1">RIGHT(CELL("filename",A$2),LEN(CELL("filename",A$2))-FIND("]",CELL("filename",A$2)))</f>
        <v>Guidance</v>
      </c>
      <c r="B1" s="11"/>
      <c r="C1" s="11"/>
      <c r="D1" s="11"/>
      <c r="E1" s="11"/>
      <c r="F1" s="11"/>
      <c r="G1" s="11"/>
      <c r="H1" s="11"/>
      <c r="I1" s="11"/>
      <c r="J1" s="11"/>
      <c r="K1" s="12"/>
      <c r="L1" s="11"/>
      <c r="M1" s="11"/>
      <c r="N1" s="11"/>
      <c r="O1" s="11"/>
      <c r="P1" s="11"/>
      <c r="Q1" s="11"/>
      <c r="R1" s="11"/>
      <c r="S1" s="11"/>
      <c r="T1" s="11"/>
      <c r="U1" s="11"/>
      <c r="V1" s="11"/>
      <c r="W1" s="11"/>
      <c r="X1" s="11"/>
      <c r="Y1" s="11"/>
    </row>
    <row r="2" spans="1:25" s="14" customFormat="1" ht="13" x14ac:dyDescent="0.3"/>
    <row r="3" spans="1:25" s="8" customFormat="1" ht="13.5" customHeight="1" x14ac:dyDescent="0.3">
      <c r="H3" s="9"/>
      <c r="I3" s="9"/>
      <c r="K3"/>
      <c r="N3" s="4"/>
    </row>
    <row r="4" spans="1:25" ht="13" x14ac:dyDescent="0.3">
      <c r="D4"/>
      <c r="E4" s="8"/>
      <c r="G4" s="27"/>
      <c r="H4" s="27"/>
      <c r="J4" s="28"/>
    </row>
    <row r="5" spans="1:25" ht="13" x14ac:dyDescent="0.3">
      <c r="D5"/>
      <c r="E5" s="8"/>
      <c r="G5" s="27"/>
    </row>
    <row r="6" spans="1:25" ht="13" x14ac:dyDescent="0.3"/>
    <row r="7" spans="1:25" ht="13" x14ac:dyDescent="0.3"/>
    <row r="8" spans="1:25" ht="13" x14ac:dyDescent="0.3"/>
    <row r="9" spans="1:25" ht="13" x14ac:dyDescent="0.3"/>
    <row r="10" spans="1:25" ht="13" x14ac:dyDescent="0.3"/>
    <row r="11" spans="1:25" ht="13" x14ac:dyDescent="0.3"/>
    <row r="12" spans="1:25" ht="13" x14ac:dyDescent="0.3"/>
    <row r="13" spans="1:25" ht="13" x14ac:dyDescent="0.3"/>
    <row r="14" spans="1:25" ht="13" x14ac:dyDescent="0.3"/>
    <row r="15" spans="1:25" ht="13" x14ac:dyDescent="0.3"/>
    <row r="16" spans="1:25" ht="13" x14ac:dyDescent="0.3"/>
    <row r="17" ht="13" x14ac:dyDescent="0.3"/>
    <row r="18" ht="13" x14ac:dyDescent="0.3"/>
    <row r="19" ht="13" x14ac:dyDescent="0.3"/>
    <row r="20" ht="13" x14ac:dyDescent="0.3"/>
    <row r="21" ht="13" x14ac:dyDescent="0.3"/>
    <row r="22" ht="13" x14ac:dyDescent="0.3"/>
    <row r="23" ht="13" x14ac:dyDescent="0.3"/>
    <row r="24" ht="13" x14ac:dyDescent="0.3"/>
    <row r="25" ht="13" x14ac:dyDescent="0.3"/>
    <row r="26" ht="13" x14ac:dyDescent="0.3"/>
    <row r="27" ht="13" x14ac:dyDescent="0.3"/>
    <row r="28" ht="13" x14ac:dyDescent="0.3"/>
    <row r="29" ht="13" x14ac:dyDescent="0.3"/>
    <row r="30" ht="13" x14ac:dyDescent="0.3"/>
    <row r="31" ht="13" x14ac:dyDescent="0.3"/>
    <row r="32" ht="13" x14ac:dyDescent="0.3"/>
    <row r="33" spans="1:4" ht="13" x14ac:dyDescent="0.3"/>
    <row r="34" spans="1:4" ht="13" x14ac:dyDescent="0.3"/>
    <row r="35" spans="1:4" ht="13" x14ac:dyDescent="0.3"/>
    <row r="36" spans="1:4" ht="13" x14ac:dyDescent="0.3"/>
    <row r="37" spans="1:4" ht="13" x14ac:dyDescent="0.3"/>
    <row r="38" spans="1:4" ht="13" x14ac:dyDescent="0.3"/>
    <row r="39" spans="1:4" ht="13" x14ac:dyDescent="0.3">
      <c r="A39" s="17"/>
    </row>
    <row r="40" spans="1:4" ht="13" x14ac:dyDescent="0.3">
      <c r="A40" s="17"/>
    </row>
    <row r="41" spans="1:4" ht="13" x14ac:dyDescent="0.3">
      <c r="A41" s="17"/>
    </row>
    <row r="42" spans="1:4" ht="13" x14ac:dyDescent="0.3">
      <c r="A42" s="17"/>
    </row>
    <row r="43" spans="1:4" ht="13" x14ac:dyDescent="0.3">
      <c r="A43" s="17"/>
    </row>
    <row r="44" spans="1:4" ht="13" x14ac:dyDescent="0.3">
      <c r="A44" s="17"/>
    </row>
    <row r="45" spans="1:4" ht="13" x14ac:dyDescent="0.3">
      <c r="A45" s="4"/>
    </row>
    <row r="46" spans="1:4" ht="13" x14ac:dyDescent="0.3">
      <c r="A46" s="4"/>
      <c r="B46" s="4"/>
      <c r="C46" s="4"/>
      <c r="D46" s="4"/>
    </row>
    <row r="47" spans="1:4" ht="13" x14ac:dyDescent="0.3"/>
    <row r="48" spans="1:4" ht="13" x14ac:dyDescent="0.3"/>
    <row r="49" ht="13" x14ac:dyDescent="0.3"/>
    <row r="50" ht="13" x14ac:dyDescent="0.3"/>
    <row r="51" ht="13" x14ac:dyDescent="0.3"/>
    <row r="52" ht="13" x14ac:dyDescent="0.3"/>
    <row r="53" ht="13" x14ac:dyDescent="0.3"/>
    <row r="54" ht="13" x14ac:dyDescent="0.3"/>
    <row r="55" ht="13" x14ac:dyDescent="0.3"/>
    <row r="56" ht="13" x14ac:dyDescent="0.3"/>
    <row r="57" ht="13" x14ac:dyDescent="0.3"/>
    <row r="58" ht="13" x14ac:dyDescent="0.3"/>
    <row r="59" ht="13" x14ac:dyDescent="0.3"/>
    <row r="60" ht="13" x14ac:dyDescent="0.3"/>
    <row r="61" ht="13" x14ac:dyDescent="0.3"/>
    <row r="62" ht="13" x14ac:dyDescent="0.3"/>
    <row r="63" ht="13" x14ac:dyDescent="0.3"/>
    <row r="64" ht="13.4" customHeight="1" x14ac:dyDescent="0.3"/>
    <row r="65" ht="13" x14ac:dyDescent="0.3"/>
    <row r="66" ht="13" x14ac:dyDescent="0.3"/>
    <row r="67" ht="13" x14ac:dyDescent="0.3"/>
    <row r="68" ht="13" x14ac:dyDescent="0.3"/>
    <row r="69" ht="13" x14ac:dyDescent="0.3"/>
    <row r="70" ht="13" x14ac:dyDescent="0.3"/>
    <row r="71" ht="13" x14ac:dyDescent="0.3"/>
    <row r="72" ht="13" x14ac:dyDescent="0.3"/>
    <row r="73" ht="13" x14ac:dyDescent="0.3"/>
    <row r="74" ht="13" x14ac:dyDescent="0.3"/>
    <row r="75" ht="13" x14ac:dyDescent="0.3"/>
    <row r="76" ht="13" x14ac:dyDescent="0.3"/>
    <row r="77" ht="13" x14ac:dyDescent="0.3"/>
    <row r="78" ht="13" x14ac:dyDescent="0.3"/>
    <row r="79" ht="13" x14ac:dyDescent="0.3"/>
    <row r="80" ht="13" x14ac:dyDescent="0.3"/>
    <row r="81" spans="1:25" ht="13" x14ac:dyDescent="0.3"/>
    <row r="82" spans="1:25" ht="13" x14ac:dyDescent="0.3"/>
    <row r="83" spans="1:25" ht="13" x14ac:dyDescent="0.3"/>
    <row r="84" spans="1:25" ht="13" x14ac:dyDescent="0.3"/>
    <row r="85" spans="1:25" ht="13" x14ac:dyDescent="0.3"/>
    <row r="86" spans="1:25" ht="13" x14ac:dyDescent="0.3"/>
    <row r="87" spans="1:25" ht="13" x14ac:dyDescent="0.3"/>
    <row r="88" spans="1:25" ht="13" x14ac:dyDescent="0.3"/>
    <row r="89" spans="1:25" ht="13" x14ac:dyDescent="0.3"/>
    <row r="90" spans="1:25" ht="13" x14ac:dyDescent="0.3"/>
    <row r="91" spans="1:25" ht="13" x14ac:dyDescent="0.3"/>
    <row r="92" spans="1:25" ht="13" x14ac:dyDescent="0.3"/>
    <row r="93" spans="1:25" ht="13" x14ac:dyDescent="0.3"/>
    <row r="94" spans="1:25" ht="13" x14ac:dyDescent="0.3"/>
    <row r="95" spans="1:25" ht="13" x14ac:dyDescent="0.3"/>
    <row r="96" spans="1:25" ht="13" x14ac:dyDescent="0.3">
      <c r="A96" s="15"/>
      <c r="B96" s="15" t="s">
        <v>76</v>
      </c>
      <c r="C96" s="15"/>
      <c r="D96" s="15"/>
      <c r="E96" s="15"/>
      <c r="F96" s="15"/>
      <c r="G96" s="15"/>
      <c r="H96" s="15"/>
      <c r="I96" s="37"/>
      <c r="J96" s="144"/>
      <c r="K96" s="144"/>
      <c r="L96" s="144"/>
      <c r="M96" s="144"/>
      <c r="N96" s="211"/>
      <c r="O96" s="211"/>
      <c r="P96" s="211"/>
      <c r="Q96" s="211"/>
      <c r="R96" s="211"/>
      <c r="S96" s="211"/>
      <c r="T96" s="211"/>
      <c r="U96" s="211"/>
      <c r="V96" s="211"/>
      <c r="W96" s="211"/>
      <c r="X96" s="211"/>
      <c r="Y96" s="211"/>
    </row>
    <row r="97" customFormat="1" ht="13" x14ac:dyDescent="0.3"/>
  </sheetData>
  <conditionalFormatting sqref="A1:A3">
    <cfRule type="containsText" dxfId="5" priority="1" operator="containsText" text="FALSE">
      <formula>NOT(ISERROR(SEARCH("FALSE",A1)))</formula>
    </cfRule>
    <cfRule type="containsText" dxfId="4" priority="2" operator="containsText" text="TRUE">
      <formula>NOT(ISERROR(SEARCH("TRUE",A1)))</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DE76D-4FAF-4785-8193-21310DCE6F38}">
  <sheetPr>
    <tabColor rgb="FF92D050"/>
  </sheetPr>
  <dimension ref="A1:Z51"/>
  <sheetViews>
    <sheetView showGridLines="0" zoomScale="80" zoomScaleNormal="80" workbookViewId="0">
      <selection activeCell="E15" sqref="E15"/>
    </sheetView>
  </sheetViews>
  <sheetFormatPr defaultColWidth="8.7265625" defaultRowHeight="13" x14ac:dyDescent="0.3"/>
  <cols>
    <col min="1" max="1" width="18.54296875" style="296" customWidth="1"/>
    <col min="2" max="2" width="8.54296875" style="296" customWidth="1"/>
    <col min="3" max="3" width="51.453125" style="296" bestFit="1" customWidth="1"/>
    <col min="4" max="4" width="14.54296875" style="296" customWidth="1"/>
    <col min="5" max="5" width="29.1796875" style="310" customWidth="1"/>
    <col min="6" max="6" width="9.453125" style="296" customWidth="1"/>
    <col min="7" max="8" width="8.7265625" style="296"/>
    <col min="9" max="9" width="8.1796875" style="296" customWidth="1"/>
    <col min="10" max="10" width="8.7265625" style="296"/>
    <col min="11" max="11" width="71.453125" style="296" bestFit="1" customWidth="1"/>
    <col min="12" max="14" width="8.7265625" style="296"/>
    <col min="15" max="15" width="9.1796875" style="296" bestFit="1" customWidth="1"/>
    <col min="16" max="16384" width="8.7265625" style="296"/>
  </cols>
  <sheetData>
    <row r="1" spans="1:26" s="297" customFormat="1" x14ac:dyDescent="0.3">
      <c r="A1" s="292" t="s">
        <v>77</v>
      </c>
      <c r="B1" s="293"/>
      <c r="C1" s="293"/>
      <c r="D1" s="293"/>
      <c r="E1" s="294"/>
      <c r="F1" s="295"/>
      <c r="G1" s="293"/>
      <c r="H1" s="293"/>
      <c r="I1" s="293"/>
      <c r="J1" s="293"/>
      <c r="K1" s="293"/>
      <c r="L1" s="293"/>
      <c r="M1" s="293"/>
      <c r="N1" s="293"/>
      <c r="O1" s="293"/>
      <c r="P1" s="293"/>
      <c r="Q1" s="293"/>
      <c r="R1" s="293"/>
      <c r="S1" s="293"/>
      <c r="T1" s="293"/>
      <c r="U1" s="293"/>
      <c r="V1" s="293"/>
      <c r="W1" s="296"/>
    </row>
    <row r="2" spans="1:26" s="297" customFormat="1" x14ac:dyDescent="0.3">
      <c r="E2" s="298"/>
      <c r="F2" s="299"/>
      <c r="G2" s="403"/>
      <c r="H2" s="403"/>
      <c r="I2" s="403"/>
      <c r="J2" s="403"/>
      <c r="Z2" s="296"/>
    </row>
    <row r="3" spans="1:26" s="297" customFormat="1" x14ac:dyDescent="0.3">
      <c r="C3" s="300" t="s">
        <v>78</v>
      </c>
      <c r="E3" s="301"/>
      <c r="F3" s="299"/>
      <c r="I3" s="302"/>
      <c r="Z3" s="296"/>
    </row>
    <row r="5" spans="1:26" x14ac:dyDescent="0.3">
      <c r="C5" s="297" t="s">
        <v>79</v>
      </c>
      <c r="D5" s="297"/>
      <c r="E5" s="303"/>
      <c r="F5" s="304" t="s">
        <v>80</v>
      </c>
    </row>
    <row r="6" spans="1:26" x14ac:dyDescent="0.3">
      <c r="C6" s="297" t="s">
        <v>81</v>
      </c>
      <c r="E6" s="303"/>
      <c r="F6" s="304" t="s">
        <v>80</v>
      </c>
    </row>
    <row r="7" spans="1:26" x14ac:dyDescent="0.3">
      <c r="C7" s="297"/>
      <c r="D7" s="297"/>
      <c r="E7" s="305"/>
      <c r="F7" s="306"/>
    </row>
    <row r="8" spans="1:26" x14ac:dyDescent="0.3">
      <c r="C8" s="297" t="s">
        <v>82</v>
      </c>
      <c r="D8" s="307" t="s">
        <v>83</v>
      </c>
      <c r="E8" s="303"/>
      <c r="F8" s="308" t="s">
        <v>84</v>
      </c>
    </row>
    <row r="9" spans="1:26" x14ac:dyDescent="0.3">
      <c r="D9" s="309"/>
    </row>
    <row r="10" spans="1:26" x14ac:dyDescent="0.3">
      <c r="C10" s="311" t="s">
        <v>85</v>
      </c>
      <c r="D10" s="312" t="s">
        <v>83</v>
      </c>
      <c r="E10" s="303"/>
    </row>
    <row r="11" spans="1:26" x14ac:dyDescent="0.3">
      <c r="C11" s="311" t="s">
        <v>86</v>
      </c>
      <c r="D11" s="312" t="s">
        <v>83</v>
      </c>
      <c r="E11" s="303"/>
    </row>
    <row r="12" spans="1:26" x14ac:dyDescent="0.3">
      <c r="C12" s="311" t="s">
        <v>87</v>
      </c>
      <c r="D12" s="312" t="s">
        <v>83</v>
      </c>
      <c r="E12" s="313"/>
    </row>
    <row r="13" spans="1:26" x14ac:dyDescent="0.3">
      <c r="C13" s="311"/>
      <c r="D13" s="312"/>
      <c r="E13" s="301"/>
    </row>
    <row r="14" spans="1:26" x14ac:dyDescent="0.3">
      <c r="C14" s="311" t="s">
        <v>88</v>
      </c>
      <c r="D14" s="312" t="s">
        <v>89</v>
      </c>
      <c r="E14" s="313"/>
      <c r="F14" s="314" t="str">
        <f>IF(E14=0,"",IF(E14*1000/($E$17+$E$18)&lt;3.95,"Short network - check correct",IF(E14*1000/($E$17+$E$18)&gt;20,"Very long network - check correct","")))</f>
        <v/>
      </c>
    </row>
    <row r="15" spans="1:26" x14ac:dyDescent="0.3">
      <c r="C15" s="311" t="s">
        <v>90</v>
      </c>
      <c r="D15" s="312" t="s">
        <v>89</v>
      </c>
      <c r="E15" s="313"/>
      <c r="F15" s="314" t="str">
        <f>IF(E15=0,"",IF(E15*1000/($E$17+$E$18)&lt;3.95,"Short network - check correct",IF(E15*1000/($E$17+$E$18)&gt;20,"Very long network - check correct","")))</f>
        <v/>
      </c>
    </row>
    <row r="16" spans="1:26" x14ac:dyDescent="0.3">
      <c r="C16" s="311"/>
      <c r="D16" s="312"/>
      <c r="E16" s="301"/>
    </row>
    <row r="17" spans="1:11" x14ac:dyDescent="0.3">
      <c r="C17" s="311" t="s">
        <v>91</v>
      </c>
      <c r="D17" s="312" t="s">
        <v>92</v>
      </c>
      <c r="E17" s="315"/>
    </row>
    <row r="18" spans="1:11" x14ac:dyDescent="0.3">
      <c r="C18" s="311" t="s">
        <v>93</v>
      </c>
      <c r="D18" s="312" t="s">
        <v>92</v>
      </c>
      <c r="E18" s="315"/>
    </row>
    <row r="19" spans="1:11" x14ac:dyDescent="0.3">
      <c r="C19" s="311"/>
      <c r="D19" s="312"/>
      <c r="E19" s="301"/>
    </row>
    <row r="20" spans="1:11" x14ac:dyDescent="0.3">
      <c r="C20" s="297" t="s">
        <v>94</v>
      </c>
      <c r="D20" s="312" t="s">
        <v>95</v>
      </c>
      <c r="E20" s="313"/>
      <c r="F20" s="304" t="s">
        <v>96</v>
      </c>
    </row>
    <row r="21" spans="1:11" x14ac:dyDescent="0.3">
      <c r="C21" s="297" t="s">
        <v>97</v>
      </c>
      <c r="D21" s="312" t="s">
        <v>95</v>
      </c>
      <c r="E21" s="313"/>
      <c r="F21" s="304" t="s">
        <v>98</v>
      </c>
    </row>
    <row r="22" spans="1:11" x14ac:dyDescent="0.3">
      <c r="E22" s="316"/>
    </row>
    <row r="23" spans="1:11" s="317" customFormat="1" x14ac:dyDescent="0.3">
      <c r="A23" s="320" t="s">
        <v>99</v>
      </c>
      <c r="B23" s="320"/>
      <c r="C23" s="320"/>
      <c r="D23" s="320"/>
      <c r="E23" s="321"/>
      <c r="F23" s="320"/>
      <c r="G23" s="320"/>
      <c r="H23" s="320"/>
      <c r="I23" s="320"/>
      <c r="J23" s="320"/>
      <c r="K23" s="320"/>
    </row>
    <row r="24" spans="1:11" x14ac:dyDescent="0.3">
      <c r="A24" s="322"/>
      <c r="B24" s="322"/>
      <c r="C24" s="322"/>
      <c r="D24" s="322"/>
      <c r="E24" s="323"/>
      <c r="F24" s="322"/>
      <c r="G24" s="322"/>
      <c r="H24" s="322"/>
      <c r="I24" s="322"/>
      <c r="J24" s="322"/>
      <c r="K24" s="322"/>
    </row>
    <row r="25" spans="1:11" x14ac:dyDescent="0.3">
      <c r="A25" s="322"/>
      <c r="B25" s="322"/>
      <c r="C25" s="322"/>
      <c r="D25" s="322"/>
      <c r="E25" s="323"/>
      <c r="F25" s="322"/>
      <c r="G25" s="322"/>
      <c r="H25" s="322"/>
      <c r="I25" s="322"/>
      <c r="J25" s="322"/>
      <c r="K25" s="322"/>
    </row>
    <row r="26" spans="1:11" x14ac:dyDescent="0.3">
      <c r="A26" s="322"/>
      <c r="B26" s="322"/>
      <c r="C26" s="324" t="s">
        <v>100</v>
      </c>
      <c r="D26" s="322"/>
      <c r="E26" s="323"/>
      <c r="F26" s="322"/>
      <c r="G26" s="322"/>
      <c r="H26" s="322"/>
      <c r="I26" s="322"/>
      <c r="J26" s="322"/>
      <c r="K26" s="322"/>
    </row>
    <row r="27" spans="1:11" x14ac:dyDescent="0.3">
      <c r="A27" s="322"/>
      <c r="B27" s="322"/>
      <c r="C27" s="325" t="s">
        <v>101</v>
      </c>
      <c r="D27" s="326" t="s">
        <v>102</v>
      </c>
      <c r="E27" s="327">
        <f>IF($E$10="Yes",('Margin comparison'!I72),0)</f>
        <v>0</v>
      </c>
      <c r="F27" s="328" t="e">
        <f>E27/E28-1</f>
        <v>#DIV/0!</v>
      </c>
      <c r="G27" s="322" t="s">
        <v>103</v>
      </c>
      <c r="H27" s="322"/>
      <c r="I27" s="322"/>
      <c r="J27" s="322"/>
      <c r="K27" s="322"/>
    </row>
    <row r="28" spans="1:11" x14ac:dyDescent="0.3">
      <c r="A28" s="322"/>
      <c r="B28" s="322"/>
      <c r="C28" s="322" t="s">
        <v>104</v>
      </c>
      <c r="D28" s="326" t="s">
        <v>102</v>
      </c>
      <c r="E28" s="329">
        <f>IF($E$10="Yes",('Margin comparison'!I73),0)</f>
        <v>0</v>
      </c>
      <c r="F28" s="328"/>
      <c r="G28" s="322"/>
      <c r="H28" s="322"/>
      <c r="I28" s="322"/>
      <c r="J28" s="322"/>
      <c r="K28" s="322"/>
    </row>
    <row r="29" spans="1:11" x14ac:dyDescent="0.3">
      <c r="A29" s="322"/>
      <c r="B29" s="322"/>
      <c r="C29" s="330" t="s">
        <v>105</v>
      </c>
      <c r="D29" s="326" t="s">
        <v>106</v>
      </c>
      <c r="E29" s="327">
        <f>IF($E$10="Yes",('Margin comparison'!I74),0)</f>
        <v>0</v>
      </c>
      <c r="F29" s="328"/>
      <c r="G29" s="322"/>
      <c r="H29" s="322"/>
      <c r="I29" s="322"/>
      <c r="J29" s="322"/>
      <c r="K29" s="322"/>
    </row>
    <row r="30" spans="1:11" x14ac:dyDescent="0.3">
      <c r="A30" s="322"/>
      <c r="B30" s="322"/>
      <c r="C30" s="330" t="s">
        <v>107</v>
      </c>
      <c r="D30" s="326" t="s">
        <v>106</v>
      </c>
      <c r="E30" s="327">
        <f>IF($E$10="Yes",('Margin comparison'!I75),0)</f>
        <v>0</v>
      </c>
      <c r="F30" s="331" t="str">
        <f>IF(-E30='Charging arrangements table'!G46,"Menu A",(IF(-E30='Charging arrangements table'!H46,"Menu B",(IF(-E30='Charging arrangements table'!I46,"Menu C","Bespoke")))))</f>
        <v>Bespoke</v>
      </c>
      <c r="G30" s="322"/>
      <c r="H30" s="322"/>
      <c r="I30" s="322"/>
      <c r="J30" s="322"/>
      <c r="K30" s="322"/>
    </row>
    <row r="31" spans="1:11" x14ac:dyDescent="0.3">
      <c r="A31" s="322"/>
      <c r="B31" s="322"/>
      <c r="C31" s="330" t="s">
        <v>108</v>
      </c>
      <c r="D31" s="326"/>
      <c r="E31" s="327">
        <f>E29+E30</f>
        <v>0</v>
      </c>
      <c r="F31" s="331"/>
      <c r="G31" s="322"/>
      <c r="H31" s="322"/>
      <c r="I31" s="322"/>
      <c r="J31" s="322"/>
      <c r="K31" s="322"/>
    </row>
    <row r="32" spans="1:11" x14ac:dyDescent="0.3">
      <c r="A32" s="322"/>
      <c r="B32" s="322"/>
      <c r="C32" s="322" t="s">
        <v>109</v>
      </c>
      <c r="D32" s="326" t="s">
        <v>110</v>
      </c>
      <c r="E32" s="329">
        <f>IF($E$10="Yes",('Margin comparison'!I76),0)</f>
        <v>0</v>
      </c>
      <c r="F32" s="328"/>
      <c r="G32" s="322"/>
      <c r="H32" s="322"/>
      <c r="I32" s="322"/>
      <c r="J32" s="322"/>
      <c r="K32" s="322"/>
    </row>
    <row r="33" spans="1:12" x14ac:dyDescent="0.3">
      <c r="A33" s="322"/>
      <c r="B33" s="322"/>
      <c r="C33" s="322" t="s">
        <v>111</v>
      </c>
      <c r="D33" s="326" t="s">
        <v>110</v>
      </c>
      <c r="E33" s="329">
        <f>IF($E$10="Yes",('Margin comparison'!I77),0)</f>
        <v>0</v>
      </c>
      <c r="F33" s="332"/>
      <c r="G33" s="322"/>
      <c r="H33" s="322"/>
      <c r="I33" s="322"/>
      <c r="J33" s="322"/>
      <c r="K33" s="322"/>
      <c r="L33" s="318"/>
    </row>
    <row r="34" spans="1:12" x14ac:dyDescent="0.3">
      <c r="A34" s="322"/>
      <c r="B34" s="322"/>
      <c r="C34" s="322" t="s">
        <v>112</v>
      </c>
      <c r="D34" s="326" t="s">
        <v>110</v>
      </c>
      <c r="E34" s="329">
        <f>IF($E$10="Yes",('Margin comparison'!I78),0)</f>
        <v>0</v>
      </c>
      <c r="F34" s="332"/>
      <c r="G34" s="322"/>
      <c r="H34" s="322"/>
      <c r="I34" s="322"/>
      <c r="J34" s="333"/>
      <c r="K34" s="322"/>
      <c r="L34" s="319"/>
    </row>
    <row r="35" spans="1:12" x14ac:dyDescent="0.3">
      <c r="A35" s="322"/>
      <c r="B35" s="322"/>
      <c r="C35" s="322" t="s">
        <v>113</v>
      </c>
      <c r="D35" s="326" t="s">
        <v>102</v>
      </c>
      <c r="E35" s="329">
        <f>IF($E$10="Yes",('Margin comparison'!I79),0)</f>
        <v>0</v>
      </c>
      <c r="F35" s="334" t="str">
        <f>IFERROR(-E33/E32,"-")</f>
        <v>-</v>
      </c>
      <c r="G35" s="322" t="s">
        <v>114</v>
      </c>
      <c r="H35" s="322"/>
      <c r="I35" s="322"/>
      <c r="J35" s="333"/>
      <c r="K35" s="322"/>
    </row>
    <row r="36" spans="1:12" x14ac:dyDescent="0.3">
      <c r="A36" s="322"/>
      <c r="B36" s="322"/>
      <c r="C36" s="322"/>
      <c r="D36" s="322"/>
      <c r="E36" s="335"/>
      <c r="F36" s="328"/>
      <c r="G36" s="322"/>
      <c r="H36" s="322"/>
      <c r="I36" s="322"/>
      <c r="J36" s="322"/>
      <c r="K36" s="322"/>
    </row>
    <row r="37" spans="1:12" x14ac:dyDescent="0.3">
      <c r="A37" s="322"/>
      <c r="B37" s="322"/>
      <c r="C37" s="322"/>
      <c r="D37" s="322"/>
      <c r="E37" s="335"/>
      <c r="F37" s="328"/>
      <c r="G37" s="322"/>
      <c r="H37" s="322"/>
      <c r="I37" s="322"/>
      <c r="J37" s="322"/>
      <c r="K37" s="322"/>
    </row>
    <row r="38" spans="1:12" x14ac:dyDescent="0.3">
      <c r="A38" s="322"/>
      <c r="B38" s="322"/>
      <c r="C38" s="324" t="s">
        <v>115</v>
      </c>
      <c r="D38" s="322"/>
      <c r="E38" s="335"/>
      <c r="F38" s="328"/>
      <c r="G38" s="322"/>
      <c r="H38" s="322"/>
      <c r="I38" s="322"/>
      <c r="J38" s="322"/>
      <c r="K38" s="322"/>
    </row>
    <row r="39" spans="1:12" x14ac:dyDescent="0.3">
      <c r="A39" s="322"/>
      <c r="B39" s="322"/>
      <c r="C39" s="330" t="s">
        <v>116</v>
      </c>
      <c r="D39" s="326" t="s">
        <v>102</v>
      </c>
      <c r="E39" s="327">
        <f>IF($E$11="Yes",('Margin comparison'!I85),0)</f>
        <v>0</v>
      </c>
      <c r="F39" s="328" t="e">
        <f t="shared" ref="F39" si="0">E39/E40-1</f>
        <v>#DIV/0!</v>
      </c>
      <c r="G39" s="322" t="s">
        <v>103</v>
      </c>
      <c r="H39" s="322"/>
      <c r="I39" s="322"/>
      <c r="J39" s="322"/>
      <c r="K39" s="336" t="s">
        <v>117</v>
      </c>
    </row>
    <row r="40" spans="1:12" x14ac:dyDescent="0.3">
      <c r="A40" s="322"/>
      <c r="B40" s="322"/>
      <c r="C40" s="322" t="s">
        <v>118</v>
      </c>
      <c r="D40" s="326" t="s">
        <v>102</v>
      </c>
      <c r="E40" s="329">
        <f>IF($E$11="Yes",('Margin comparison'!I86),0)</f>
        <v>0</v>
      </c>
      <c r="F40" s="337"/>
      <c r="G40" s="322"/>
      <c r="H40" s="322"/>
      <c r="I40" s="322"/>
      <c r="J40" s="322"/>
      <c r="K40" s="322"/>
    </row>
    <row r="41" spans="1:12" x14ac:dyDescent="0.3">
      <c r="A41" s="322"/>
      <c r="B41" s="322"/>
      <c r="C41" s="330" t="s">
        <v>119</v>
      </c>
      <c r="D41" s="326" t="s">
        <v>106</v>
      </c>
      <c r="E41" s="327">
        <f>IF($E$11="Yes",('Margin comparison'!I87),0)</f>
        <v>0</v>
      </c>
      <c r="F41" s="331" t="str">
        <f>IF(-E41='Charging arrangements table'!O43,"Menu A",(IF(-E41='Charging arrangements table'!P43,"Menu B",(IF(-E41='Charging arrangements table'!Q43,"Menu C","Bespoke")))))</f>
        <v>Bespoke</v>
      </c>
      <c r="G41" s="322"/>
      <c r="H41" s="322"/>
      <c r="I41" s="322"/>
      <c r="J41" s="322"/>
      <c r="K41" s="322"/>
    </row>
    <row r="42" spans="1:12" x14ac:dyDescent="0.3">
      <c r="A42" s="322"/>
      <c r="B42" s="322"/>
      <c r="C42" s="330" t="s">
        <v>108</v>
      </c>
      <c r="D42" s="326"/>
      <c r="E42" s="327">
        <f>E41</f>
        <v>0</v>
      </c>
      <c r="F42" s="331"/>
      <c r="G42" s="322"/>
      <c r="H42" s="322"/>
      <c r="I42" s="322"/>
      <c r="J42" s="322"/>
      <c r="K42" s="322"/>
    </row>
    <row r="43" spans="1:12" x14ac:dyDescent="0.3">
      <c r="A43" s="322"/>
      <c r="B43" s="322"/>
      <c r="C43" s="322" t="s">
        <v>109</v>
      </c>
      <c r="D43" s="326" t="s">
        <v>110</v>
      </c>
      <c r="E43" s="329">
        <f>IF($E$11="Yes",('Margin comparison'!I88),0)</f>
        <v>0</v>
      </c>
      <c r="F43" s="338"/>
      <c r="G43" s="322"/>
      <c r="H43" s="322"/>
      <c r="I43" s="322"/>
      <c r="J43" s="322"/>
      <c r="K43" s="322"/>
    </row>
    <row r="44" spans="1:12" x14ac:dyDescent="0.3">
      <c r="A44" s="322"/>
      <c r="B44" s="322"/>
      <c r="C44" s="322" t="s">
        <v>120</v>
      </c>
      <c r="D44" s="326" t="s">
        <v>110</v>
      </c>
      <c r="E44" s="329">
        <f>IF($E$11="Yes",('Margin comparison'!I89),0)</f>
        <v>0</v>
      </c>
      <c r="F44" s="337"/>
      <c r="G44" s="322"/>
      <c r="H44" s="322"/>
      <c r="I44" s="322"/>
      <c r="J44" s="322"/>
      <c r="K44" s="322"/>
    </row>
    <row r="45" spans="1:12" x14ac:dyDescent="0.3">
      <c r="A45" s="322"/>
      <c r="B45" s="322"/>
      <c r="C45" s="322" t="s">
        <v>121</v>
      </c>
      <c r="D45" s="326" t="s">
        <v>110</v>
      </c>
      <c r="E45" s="329">
        <f>IF($E$11="Yes",('Margin comparison'!I90),0)</f>
        <v>0</v>
      </c>
      <c r="F45" s="337"/>
      <c r="G45" s="322"/>
      <c r="H45" s="322"/>
      <c r="I45" s="322"/>
      <c r="J45" s="322"/>
      <c r="K45" s="322"/>
    </row>
    <row r="46" spans="1:12" x14ac:dyDescent="0.3">
      <c r="A46" s="322"/>
      <c r="B46" s="322"/>
      <c r="C46" s="322" t="s">
        <v>122</v>
      </c>
      <c r="D46" s="326" t="s">
        <v>102</v>
      </c>
      <c r="E46" s="329">
        <f>IF($E$11="Yes",('Margin comparison'!I91),0)</f>
        <v>0</v>
      </c>
      <c r="F46" s="334" t="str">
        <f>IFERROR(-E44/E43,"-")</f>
        <v>-</v>
      </c>
      <c r="G46" s="322" t="s">
        <v>114</v>
      </c>
      <c r="H46" s="322"/>
      <c r="I46" s="322"/>
      <c r="J46" s="322"/>
      <c r="K46" s="322"/>
    </row>
    <row r="47" spans="1:12" x14ac:dyDescent="0.3">
      <c r="A47" s="322"/>
      <c r="B47" s="322"/>
      <c r="C47" s="322"/>
      <c r="D47" s="322"/>
      <c r="E47" s="323"/>
      <c r="F47" s="328"/>
      <c r="G47" s="322"/>
      <c r="H47" s="322"/>
      <c r="I47" s="322"/>
      <c r="J47" s="322"/>
      <c r="K47" s="322"/>
    </row>
    <row r="48" spans="1:12" x14ac:dyDescent="0.3">
      <c r="A48" s="322"/>
      <c r="B48" s="322"/>
      <c r="C48" s="325" t="s">
        <v>123</v>
      </c>
      <c r="D48" s="326" t="s">
        <v>106</v>
      </c>
      <c r="E48" s="327">
        <f>IF(E12="Yes",'Charging arrangements table'!I19,0)</f>
        <v>0</v>
      </c>
      <c r="F48" s="322"/>
      <c r="G48" s="322"/>
      <c r="H48" s="322"/>
      <c r="I48" s="322"/>
      <c r="J48" s="322"/>
      <c r="K48" s="322"/>
    </row>
    <row r="49" spans="1:11" x14ac:dyDescent="0.3">
      <c r="A49" s="322"/>
      <c r="B49" s="322"/>
      <c r="C49" s="322" t="s">
        <v>124</v>
      </c>
      <c r="D49" s="326" t="s">
        <v>110</v>
      </c>
      <c r="E49" s="329">
        <f>IF($E$12="yes",E48*(E17+E18),0)</f>
        <v>0</v>
      </c>
      <c r="F49" s="322"/>
      <c r="G49" s="322"/>
      <c r="H49" s="322"/>
      <c r="I49" s="322"/>
      <c r="J49" s="322"/>
      <c r="K49" s="322"/>
    </row>
    <row r="50" spans="1:11" x14ac:dyDescent="0.3">
      <c r="A50" s="322"/>
      <c r="B50" s="322"/>
      <c r="C50" s="322" t="s">
        <v>125</v>
      </c>
      <c r="D50" s="339" t="s">
        <v>110</v>
      </c>
      <c r="E50" s="329">
        <f>IF($E$12="yes",(E48*E17)+(E18*'Charging arrangements table'!I21),0)</f>
        <v>0</v>
      </c>
      <c r="F50" s="334" t="str">
        <f>IFERROR(-(E50-E49)/E50,"-")</f>
        <v>-</v>
      </c>
      <c r="G50" s="322" t="s">
        <v>114</v>
      </c>
      <c r="H50" s="322"/>
      <c r="I50" s="322"/>
      <c r="J50" s="322"/>
      <c r="K50" s="322"/>
    </row>
    <row r="51" spans="1:11" x14ac:dyDescent="0.3">
      <c r="A51" s="322"/>
      <c r="B51" s="322"/>
      <c r="C51" s="322"/>
      <c r="D51" s="322"/>
      <c r="E51" s="323"/>
      <c r="F51" s="322"/>
      <c r="G51" s="322"/>
      <c r="H51" s="322"/>
      <c r="I51" s="322"/>
      <c r="J51" s="322"/>
      <c r="K51" s="322"/>
    </row>
  </sheetData>
  <sheetProtection algorithmName="SHA-512" hashValue="Za1jOqdykTzPDwmqgyT+FOrubHQ2LvwpYSJTEqzvegBgCWrp5HbKNnnPcu7OHkdOGepbYqnrCNw+Z+mjkoYagQ==" saltValue="ezaBahToAhaUiOArSIFKFA==" spinCount="100000" sheet="1" objects="1" scenarios="1" selectLockedCells="1"/>
  <mergeCells count="1">
    <mergeCell ref="G2:J2"/>
  </mergeCells>
  <dataValidations count="1">
    <dataValidation type="list" allowBlank="1" showInputMessage="1" showErrorMessage="1" sqref="E8 E10:E12" xr:uid="{16526840-13C9-4E69-B5FB-0ADC0E20B591}">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F47E1-E0EE-4FF8-8614-D18082F9F3D7}">
  <sheetPr>
    <tabColor theme="3" tint="0.39997558519241921"/>
  </sheetPr>
  <dimension ref="A1:V53"/>
  <sheetViews>
    <sheetView showGridLines="0" zoomScale="60" zoomScaleNormal="60" workbookViewId="0">
      <selection activeCell="V21" sqref="V21"/>
    </sheetView>
  </sheetViews>
  <sheetFormatPr defaultRowHeight="13" x14ac:dyDescent="0.3"/>
  <cols>
    <col min="22" max="22" width="84.54296875" customWidth="1"/>
  </cols>
  <sheetData>
    <row r="1" spans="1:22" ht="21.5" x14ac:dyDescent="0.9">
      <c r="A1" s="269"/>
      <c r="B1" s="269"/>
      <c r="C1" s="269"/>
      <c r="D1" s="269"/>
      <c r="E1" s="269"/>
      <c r="F1" s="269"/>
      <c r="G1" s="269"/>
      <c r="H1" s="269"/>
      <c r="I1" s="269"/>
      <c r="J1" s="269"/>
      <c r="K1" s="269"/>
      <c r="L1" s="269"/>
      <c r="M1" s="269"/>
      <c r="N1" s="269"/>
      <c r="O1" s="269"/>
      <c r="P1" s="269"/>
      <c r="Q1" s="269"/>
      <c r="R1" s="269"/>
      <c r="S1" s="269"/>
      <c r="T1" s="269"/>
      <c r="U1" s="269"/>
      <c r="V1" s="270" t="s">
        <v>126</v>
      </c>
    </row>
    <row r="2" spans="1:22" ht="34.4" customHeight="1" x14ac:dyDescent="0.35">
      <c r="B2" s="269"/>
      <c r="C2" s="269"/>
      <c r="D2" s="269"/>
      <c r="E2" s="269"/>
      <c r="F2" s="269"/>
      <c r="G2" s="269"/>
      <c r="H2" s="269"/>
      <c r="I2" s="269"/>
      <c r="J2" s="269"/>
      <c r="K2" s="269"/>
      <c r="L2" s="269"/>
      <c r="M2" s="269"/>
      <c r="N2" s="269"/>
      <c r="O2" s="269"/>
      <c r="P2" s="269"/>
      <c r="Q2" s="269"/>
      <c r="R2" s="269"/>
      <c r="S2" s="269"/>
      <c r="T2" s="269"/>
      <c r="U2" s="269"/>
      <c r="V2" s="271" t="s">
        <v>127</v>
      </c>
    </row>
    <row r="3" spans="1:22" ht="34.4" customHeight="1" x14ac:dyDescent="0.35">
      <c r="A3" s="269"/>
      <c r="B3" s="269"/>
      <c r="C3" s="269"/>
      <c r="D3" s="269"/>
      <c r="E3" s="269"/>
      <c r="F3" s="269"/>
      <c r="G3" s="269"/>
      <c r="H3" s="269"/>
      <c r="I3" s="269"/>
      <c r="J3" s="269"/>
      <c r="K3" s="269"/>
      <c r="L3" s="269"/>
      <c r="M3" s="269"/>
      <c r="N3" s="269"/>
      <c r="O3" s="269"/>
      <c r="P3" s="269"/>
      <c r="Q3" s="269"/>
      <c r="R3" s="269"/>
      <c r="S3" s="269"/>
      <c r="T3" s="269"/>
      <c r="U3" s="269"/>
      <c r="V3" s="271" t="s">
        <v>128</v>
      </c>
    </row>
    <row r="4" spans="1:22" ht="14.5" x14ac:dyDescent="0.35">
      <c r="A4" s="269"/>
      <c r="B4" s="269"/>
      <c r="C4" s="269"/>
      <c r="D4" s="269"/>
      <c r="E4" s="269"/>
      <c r="F4" s="269"/>
      <c r="G4" s="269"/>
      <c r="H4" s="269"/>
      <c r="I4" s="269"/>
      <c r="J4" s="269"/>
      <c r="K4" s="269"/>
      <c r="L4" s="269"/>
      <c r="M4" s="269"/>
      <c r="N4" s="269"/>
      <c r="O4" s="269"/>
      <c r="P4" s="269"/>
      <c r="Q4" s="269"/>
      <c r="R4" s="269"/>
      <c r="S4" s="269"/>
      <c r="T4" s="269"/>
      <c r="U4" s="269"/>
      <c r="V4" s="269"/>
    </row>
    <row r="5" spans="1:22" ht="14.5" x14ac:dyDescent="0.35">
      <c r="A5" s="269"/>
      <c r="B5" s="269"/>
      <c r="C5" s="269"/>
      <c r="D5" s="269"/>
      <c r="E5" s="269"/>
      <c r="F5" s="269"/>
      <c r="G5" s="269"/>
      <c r="H5" s="269"/>
      <c r="I5" s="269"/>
      <c r="J5" s="269"/>
      <c r="K5" s="269"/>
      <c r="L5" s="269"/>
      <c r="M5" s="269"/>
      <c r="N5" s="269"/>
      <c r="O5" s="269"/>
      <c r="P5" s="269"/>
      <c r="Q5" s="269"/>
      <c r="R5" s="269"/>
      <c r="S5" s="269"/>
      <c r="T5" s="269"/>
      <c r="U5" s="269"/>
      <c r="V5" s="272" t="s">
        <v>129</v>
      </c>
    </row>
    <row r="6" spans="1:22" ht="14.5" x14ac:dyDescent="0.35">
      <c r="A6" s="269"/>
      <c r="B6" s="269"/>
      <c r="C6" s="269"/>
      <c r="D6" s="269"/>
      <c r="E6" s="269"/>
      <c r="F6" s="269"/>
      <c r="G6" s="269"/>
      <c r="H6" s="269"/>
      <c r="I6" s="269"/>
      <c r="J6" s="269"/>
      <c r="K6" s="269"/>
      <c r="L6" s="269"/>
      <c r="M6" s="269"/>
      <c r="N6" s="269"/>
      <c r="O6" s="269"/>
      <c r="P6" s="269"/>
      <c r="Q6" s="269"/>
      <c r="R6" s="269"/>
      <c r="S6" s="269"/>
      <c r="T6" s="269"/>
      <c r="U6" s="269"/>
      <c r="V6" s="273" t="s">
        <v>130</v>
      </c>
    </row>
    <row r="7" spans="1:22" ht="14.5" x14ac:dyDescent="0.35">
      <c r="A7" s="269"/>
      <c r="B7" s="269"/>
      <c r="C7" s="269"/>
      <c r="D7" s="269"/>
      <c r="E7" s="269"/>
      <c r="F7" s="269"/>
      <c r="G7" s="269"/>
      <c r="H7" s="269"/>
      <c r="I7" s="269"/>
      <c r="J7" s="269"/>
      <c r="K7" s="269"/>
      <c r="L7" s="269"/>
      <c r="M7" s="269"/>
      <c r="N7" s="269"/>
      <c r="O7" s="269"/>
      <c r="P7" s="269"/>
      <c r="Q7" s="269"/>
      <c r="R7" s="269"/>
      <c r="S7" s="269"/>
      <c r="T7" s="269"/>
      <c r="U7" s="269"/>
      <c r="V7" s="273" t="s">
        <v>131</v>
      </c>
    </row>
    <row r="8" spans="1:22" ht="14.5" x14ac:dyDescent="0.35">
      <c r="A8" s="269"/>
      <c r="B8" s="269"/>
      <c r="C8" s="269"/>
      <c r="D8" s="269"/>
      <c r="E8" s="269"/>
      <c r="F8" s="269"/>
      <c r="G8" s="269"/>
      <c r="H8" s="269"/>
      <c r="I8" s="269"/>
      <c r="J8" s="269"/>
      <c r="K8" s="269"/>
      <c r="L8" s="269"/>
      <c r="M8" s="269"/>
      <c r="N8" s="269"/>
      <c r="O8" s="269"/>
      <c r="P8" s="269"/>
      <c r="Q8" s="269"/>
      <c r="R8" s="269"/>
      <c r="S8" s="269"/>
      <c r="T8" s="269"/>
      <c r="U8" s="269"/>
      <c r="V8" s="273" t="s">
        <v>132</v>
      </c>
    </row>
    <row r="9" spans="1:22" ht="14.5" x14ac:dyDescent="0.35">
      <c r="A9" s="269"/>
      <c r="B9" s="269"/>
      <c r="C9" s="269"/>
      <c r="D9" s="269"/>
      <c r="E9" s="269"/>
      <c r="F9" s="269"/>
      <c r="G9" s="269"/>
      <c r="H9" s="269"/>
      <c r="I9" s="269"/>
      <c r="J9" s="269"/>
      <c r="K9" s="269"/>
      <c r="L9" s="269"/>
      <c r="M9" s="269"/>
      <c r="N9" s="269"/>
      <c r="O9" s="269"/>
      <c r="P9" s="269"/>
      <c r="Q9" s="269"/>
      <c r="R9" s="269"/>
      <c r="S9" s="269"/>
      <c r="T9" s="269"/>
      <c r="U9" s="269"/>
      <c r="V9" s="273" t="s">
        <v>133</v>
      </c>
    </row>
    <row r="10" spans="1:22" ht="14.5" x14ac:dyDescent="0.35">
      <c r="A10" s="269"/>
      <c r="B10" s="269"/>
      <c r="C10" s="269"/>
      <c r="D10" s="269"/>
      <c r="E10" s="269"/>
      <c r="F10" s="269"/>
      <c r="G10" s="269"/>
      <c r="H10" s="269"/>
      <c r="I10" s="269"/>
      <c r="J10" s="269"/>
      <c r="K10" s="269"/>
      <c r="L10" s="269"/>
      <c r="M10" s="269"/>
      <c r="N10" s="269"/>
      <c r="O10" s="269"/>
      <c r="P10" s="269"/>
      <c r="Q10" s="269"/>
      <c r="R10" s="269"/>
      <c r="S10" s="269"/>
      <c r="T10" s="269"/>
      <c r="U10" s="269"/>
      <c r="V10" s="273" t="s">
        <v>134</v>
      </c>
    </row>
    <row r="11" spans="1:22" ht="14.5" x14ac:dyDescent="0.35">
      <c r="A11" s="269"/>
      <c r="B11" s="269"/>
      <c r="C11" s="269"/>
      <c r="D11" s="269"/>
      <c r="E11" s="269"/>
      <c r="F11" s="269"/>
      <c r="G11" s="269"/>
      <c r="H11" s="269"/>
      <c r="I11" s="269"/>
      <c r="J11" s="269"/>
      <c r="K11" s="269"/>
      <c r="L11" s="269"/>
      <c r="M11" s="269"/>
      <c r="N11" s="269"/>
      <c r="O11" s="269"/>
      <c r="P11" s="269"/>
      <c r="Q11" s="269"/>
      <c r="R11" s="269"/>
      <c r="S11" s="269"/>
      <c r="T11" s="269"/>
      <c r="U11" s="269"/>
      <c r="V11" s="273" t="s">
        <v>135</v>
      </c>
    </row>
    <row r="12" spans="1:22" ht="14.5" x14ac:dyDescent="0.35">
      <c r="A12" s="269"/>
      <c r="B12" s="269"/>
      <c r="C12" s="269"/>
      <c r="D12" s="269"/>
      <c r="E12" s="269"/>
      <c r="F12" s="269"/>
      <c r="G12" s="269"/>
      <c r="H12" s="269"/>
      <c r="I12" s="269"/>
      <c r="J12" s="269"/>
      <c r="K12" s="269"/>
      <c r="L12" s="269"/>
      <c r="M12" s="269"/>
      <c r="N12" s="269"/>
      <c r="O12" s="269"/>
      <c r="P12" s="269"/>
      <c r="Q12" s="269"/>
      <c r="R12" s="269"/>
      <c r="S12" s="269"/>
      <c r="T12" s="269"/>
      <c r="U12" s="269"/>
      <c r="V12" s="273" t="s">
        <v>136</v>
      </c>
    </row>
    <row r="13" spans="1:22" ht="14.5" x14ac:dyDescent="0.35">
      <c r="A13" s="269"/>
      <c r="B13" s="269"/>
      <c r="C13" s="269"/>
      <c r="D13" s="269"/>
      <c r="E13" s="269"/>
      <c r="F13" s="269"/>
      <c r="G13" s="269"/>
      <c r="H13" s="269"/>
      <c r="I13" s="269"/>
      <c r="J13" s="269"/>
      <c r="K13" s="269"/>
      <c r="L13" s="269"/>
      <c r="M13" s="269"/>
      <c r="N13" s="269"/>
      <c r="O13" s="269"/>
      <c r="P13" s="269"/>
      <c r="Q13" s="269"/>
      <c r="R13" s="269"/>
      <c r="S13" s="269"/>
      <c r="T13" s="269"/>
      <c r="U13" s="269"/>
      <c r="V13" s="273" t="s">
        <v>137</v>
      </c>
    </row>
    <row r="14" spans="1:22" ht="14.5" x14ac:dyDescent="0.35">
      <c r="A14" s="269"/>
      <c r="B14" s="269"/>
      <c r="C14" s="269"/>
      <c r="D14" s="269"/>
      <c r="E14" s="269"/>
      <c r="F14" s="269"/>
      <c r="G14" s="269"/>
      <c r="H14" s="269"/>
      <c r="I14" s="269"/>
      <c r="J14" s="269"/>
      <c r="K14" s="269"/>
      <c r="L14" s="269"/>
      <c r="M14" s="269"/>
      <c r="N14" s="269"/>
      <c r="O14" s="269"/>
      <c r="P14" s="269"/>
      <c r="Q14" s="269"/>
      <c r="R14" s="269"/>
      <c r="S14" s="269"/>
      <c r="T14" s="269"/>
      <c r="U14" s="269"/>
      <c r="V14" s="273" t="s">
        <v>138</v>
      </c>
    </row>
    <row r="15" spans="1:22" ht="14.5" x14ac:dyDescent="0.35">
      <c r="A15" s="269"/>
      <c r="B15" s="269"/>
      <c r="C15" s="269"/>
      <c r="D15" s="269"/>
      <c r="E15" s="269"/>
      <c r="F15" s="269"/>
      <c r="G15" s="269"/>
      <c r="H15" s="269"/>
      <c r="I15" s="269"/>
      <c r="J15" s="269"/>
      <c r="K15" s="269"/>
      <c r="L15" s="269"/>
      <c r="M15" s="269"/>
      <c r="N15" s="269"/>
      <c r="O15" s="269"/>
      <c r="P15" s="269"/>
      <c r="Q15" s="269"/>
      <c r="R15" s="269"/>
      <c r="S15" s="269"/>
      <c r="T15" s="269"/>
      <c r="U15" s="269"/>
      <c r="V15" s="273" t="s">
        <v>139</v>
      </c>
    </row>
    <row r="16" spans="1:22" ht="14.5" x14ac:dyDescent="0.35">
      <c r="A16" s="269"/>
      <c r="B16" s="269"/>
      <c r="C16" s="269"/>
      <c r="D16" s="269"/>
      <c r="E16" s="269"/>
      <c r="F16" s="269"/>
      <c r="G16" s="269"/>
      <c r="H16" s="269"/>
      <c r="I16" s="269"/>
      <c r="J16" s="269"/>
      <c r="K16" s="269"/>
      <c r="L16" s="269"/>
      <c r="M16" s="269"/>
      <c r="N16" s="269"/>
      <c r="O16" s="269"/>
      <c r="P16" s="269"/>
      <c r="Q16" s="269"/>
      <c r="R16" s="269"/>
      <c r="S16" s="269"/>
      <c r="T16" s="269"/>
      <c r="U16" s="269"/>
      <c r="V16" s="273" t="s">
        <v>140</v>
      </c>
    </row>
    <row r="17" spans="1:22" ht="14.5" x14ac:dyDescent="0.35">
      <c r="A17" s="269"/>
      <c r="B17" s="269"/>
      <c r="C17" s="269"/>
      <c r="D17" s="269"/>
      <c r="E17" s="269"/>
      <c r="F17" s="269"/>
      <c r="G17" s="269"/>
      <c r="H17" s="269"/>
      <c r="I17" s="269"/>
      <c r="J17" s="269"/>
      <c r="K17" s="269"/>
      <c r="L17" s="269"/>
      <c r="M17" s="269"/>
      <c r="N17" s="269"/>
      <c r="O17" s="269"/>
      <c r="P17" s="269"/>
      <c r="Q17" s="269"/>
      <c r="R17" s="269"/>
      <c r="S17" s="269"/>
      <c r="T17" s="269"/>
      <c r="U17" s="269"/>
      <c r="V17" s="273" t="s">
        <v>141</v>
      </c>
    </row>
    <row r="18" spans="1:22" ht="14.5" x14ac:dyDescent="0.35">
      <c r="A18" s="269"/>
      <c r="B18" s="269"/>
      <c r="C18" s="269"/>
      <c r="D18" s="269"/>
      <c r="E18" s="269"/>
      <c r="F18" s="269"/>
      <c r="G18" s="269"/>
      <c r="H18" s="269"/>
      <c r="I18" s="269"/>
      <c r="J18" s="269"/>
      <c r="K18" s="269"/>
      <c r="L18" s="269"/>
      <c r="M18" s="269"/>
      <c r="N18" s="269"/>
      <c r="O18" s="269"/>
      <c r="P18" s="269"/>
      <c r="Q18" s="269"/>
      <c r="R18" s="269"/>
      <c r="S18" s="269"/>
      <c r="T18" s="269"/>
      <c r="U18" s="269"/>
      <c r="V18" s="273" t="s">
        <v>142</v>
      </c>
    </row>
    <row r="19" spans="1:22" ht="14.5" x14ac:dyDescent="0.35">
      <c r="A19" s="269"/>
      <c r="B19" s="269"/>
      <c r="C19" s="269"/>
      <c r="D19" s="269"/>
      <c r="E19" s="269"/>
      <c r="F19" s="269"/>
      <c r="G19" s="269"/>
      <c r="H19" s="269"/>
      <c r="I19" s="269"/>
      <c r="J19" s="269"/>
      <c r="K19" s="269"/>
      <c r="L19" s="269"/>
      <c r="M19" s="269"/>
      <c r="N19" s="269"/>
      <c r="O19" s="269"/>
      <c r="P19" s="269"/>
      <c r="Q19" s="269"/>
      <c r="R19" s="269"/>
      <c r="S19" s="269"/>
      <c r="T19" s="269"/>
      <c r="U19" s="269"/>
      <c r="V19" s="273" t="s">
        <v>143</v>
      </c>
    </row>
    <row r="20" spans="1:22" ht="14.5" x14ac:dyDescent="0.35">
      <c r="A20" s="269"/>
      <c r="B20" s="269"/>
      <c r="C20" s="269"/>
      <c r="D20" s="269"/>
      <c r="E20" s="269"/>
      <c r="F20" s="269"/>
      <c r="G20" s="269"/>
      <c r="H20" s="269"/>
      <c r="I20" s="269"/>
      <c r="J20" s="269"/>
      <c r="K20" s="269"/>
      <c r="L20" s="269"/>
      <c r="M20" s="269"/>
      <c r="N20" s="269"/>
      <c r="O20" s="269"/>
      <c r="P20" s="269"/>
      <c r="Q20" s="269"/>
      <c r="R20" s="269"/>
      <c r="S20" s="269"/>
      <c r="T20" s="269"/>
      <c r="U20" s="269"/>
      <c r="V20" s="273" t="s">
        <v>144</v>
      </c>
    </row>
    <row r="21" spans="1:22" ht="14.5" x14ac:dyDescent="0.35">
      <c r="A21" s="269"/>
      <c r="B21" s="269"/>
      <c r="C21" s="269"/>
      <c r="D21" s="269"/>
      <c r="E21" s="269"/>
      <c r="F21" s="269"/>
      <c r="G21" s="269"/>
      <c r="H21" s="269"/>
      <c r="I21" s="269"/>
      <c r="J21" s="269"/>
      <c r="K21" s="269"/>
      <c r="L21" s="269"/>
      <c r="M21" s="269"/>
      <c r="N21" s="269"/>
      <c r="O21" s="269"/>
      <c r="P21" s="269"/>
      <c r="Q21" s="269"/>
      <c r="R21" s="269"/>
      <c r="S21" s="269"/>
      <c r="T21" s="269"/>
      <c r="U21" s="269"/>
      <c r="V21" s="273" t="s">
        <v>145</v>
      </c>
    </row>
    <row r="22" spans="1:22" ht="14.5" x14ac:dyDescent="0.35">
      <c r="A22" s="269"/>
      <c r="B22" s="269"/>
      <c r="C22" s="269"/>
      <c r="D22" s="269"/>
      <c r="E22" s="269"/>
      <c r="F22" s="269"/>
      <c r="G22" s="269"/>
      <c r="H22" s="269"/>
      <c r="I22" s="269"/>
      <c r="J22" s="269"/>
      <c r="K22" s="269"/>
      <c r="L22" s="269"/>
      <c r="M22" s="269"/>
      <c r="N22" s="269"/>
      <c r="O22" s="269"/>
      <c r="P22" s="269"/>
      <c r="Q22" s="269"/>
      <c r="R22" s="269"/>
      <c r="S22" s="269"/>
      <c r="T22" s="269"/>
      <c r="U22" s="269"/>
      <c r="V22" s="273" t="s">
        <v>146</v>
      </c>
    </row>
    <row r="23" spans="1:22" ht="14.5" x14ac:dyDescent="0.35">
      <c r="A23" s="269"/>
      <c r="B23" s="269"/>
      <c r="C23" s="269"/>
      <c r="D23" s="269"/>
      <c r="E23" s="269"/>
      <c r="F23" s="269"/>
      <c r="G23" s="269"/>
      <c r="H23" s="269"/>
      <c r="I23" s="269"/>
      <c r="J23" s="269"/>
      <c r="K23" s="269"/>
      <c r="L23" s="269"/>
      <c r="M23" s="269"/>
      <c r="N23" s="269"/>
      <c r="O23" s="269"/>
      <c r="P23" s="269"/>
      <c r="Q23" s="269"/>
      <c r="R23" s="269"/>
      <c r="S23" s="269"/>
      <c r="T23" s="269"/>
      <c r="U23" s="269"/>
      <c r="V23" s="273" t="s">
        <v>147</v>
      </c>
    </row>
    <row r="24" spans="1:22" ht="14.5" x14ac:dyDescent="0.35">
      <c r="A24" s="269"/>
      <c r="B24" s="269"/>
      <c r="C24" s="269"/>
      <c r="D24" s="269"/>
      <c r="E24" s="269"/>
      <c r="F24" s="269"/>
      <c r="G24" s="269"/>
      <c r="H24" s="269"/>
      <c r="I24" s="269"/>
      <c r="J24" s="269"/>
      <c r="K24" s="269"/>
      <c r="L24" s="269"/>
      <c r="M24" s="269"/>
      <c r="N24" s="269"/>
      <c r="O24" s="269"/>
      <c r="P24" s="269"/>
      <c r="Q24" s="269"/>
      <c r="R24" s="269"/>
      <c r="S24" s="269"/>
      <c r="T24" s="269"/>
      <c r="U24" s="269"/>
      <c r="V24" s="273" t="s">
        <v>148</v>
      </c>
    </row>
    <row r="25" spans="1:22" ht="14.5" x14ac:dyDescent="0.35">
      <c r="A25" s="269"/>
      <c r="B25" s="269"/>
      <c r="C25" s="269"/>
      <c r="D25" s="269"/>
      <c r="E25" s="269"/>
      <c r="F25" s="269"/>
      <c r="G25" s="269"/>
      <c r="H25" s="269"/>
      <c r="I25" s="269"/>
      <c r="J25" s="269"/>
      <c r="K25" s="269"/>
      <c r="L25" s="269"/>
      <c r="M25" s="269"/>
      <c r="N25" s="269"/>
      <c r="O25" s="269"/>
      <c r="P25" s="269"/>
      <c r="Q25" s="269"/>
      <c r="R25" s="269"/>
      <c r="S25" s="269"/>
      <c r="T25" s="269"/>
      <c r="U25" s="269"/>
      <c r="V25" s="273" t="s">
        <v>149</v>
      </c>
    </row>
    <row r="26" spans="1:22" ht="14.5" x14ac:dyDescent="0.35">
      <c r="A26" s="269"/>
      <c r="B26" s="269"/>
      <c r="C26" s="269"/>
      <c r="D26" s="269"/>
      <c r="E26" s="269"/>
      <c r="F26" s="269"/>
      <c r="G26" s="269"/>
      <c r="H26" s="269"/>
      <c r="I26" s="269"/>
      <c r="J26" s="269"/>
      <c r="K26" s="269"/>
      <c r="L26" s="269"/>
      <c r="M26" s="269"/>
      <c r="N26" s="269"/>
      <c r="O26" s="269"/>
      <c r="P26" s="269"/>
      <c r="Q26" s="269"/>
      <c r="R26" s="269"/>
      <c r="S26" s="269"/>
      <c r="T26" s="269"/>
      <c r="U26" s="269"/>
      <c r="V26" s="273" t="s">
        <v>150</v>
      </c>
    </row>
    <row r="27" spans="1:22" ht="14.5" x14ac:dyDescent="0.35">
      <c r="A27" s="269"/>
      <c r="B27" s="269"/>
      <c r="C27" s="269"/>
      <c r="D27" s="269"/>
      <c r="E27" s="269"/>
      <c r="F27" s="269"/>
      <c r="G27" s="269"/>
      <c r="H27" s="269"/>
      <c r="I27" s="269"/>
      <c r="J27" s="269"/>
      <c r="K27" s="269"/>
      <c r="L27" s="269"/>
      <c r="M27" s="269"/>
      <c r="N27" s="269"/>
      <c r="O27" s="269"/>
      <c r="P27" s="269"/>
      <c r="Q27" s="269"/>
      <c r="R27" s="269"/>
      <c r="S27" s="269"/>
      <c r="T27" s="269"/>
      <c r="U27" s="269"/>
      <c r="V27" s="273" t="s">
        <v>151</v>
      </c>
    </row>
    <row r="28" spans="1:22" ht="14.5" x14ac:dyDescent="0.35">
      <c r="A28" s="269"/>
      <c r="B28" s="269"/>
      <c r="C28" s="269"/>
      <c r="D28" s="269"/>
      <c r="E28" s="269"/>
      <c r="F28" s="269"/>
      <c r="G28" s="269"/>
      <c r="H28" s="269"/>
      <c r="I28" s="269"/>
      <c r="J28" s="269"/>
      <c r="K28" s="269"/>
      <c r="L28" s="269"/>
      <c r="M28" s="269"/>
      <c r="N28" s="269"/>
      <c r="O28" s="269"/>
      <c r="P28" s="269"/>
      <c r="Q28" s="269"/>
      <c r="R28" s="269"/>
      <c r="S28" s="269"/>
      <c r="T28" s="269"/>
      <c r="U28" s="269"/>
      <c r="V28" s="273" t="s">
        <v>152</v>
      </c>
    </row>
    <row r="29" spans="1:22" ht="14.5" x14ac:dyDescent="0.35">
      <c r="A29" s="269"/>
      <c r="B29" s="269"/>
      <c r="C29" s="269"/>
      <c r="D29" s="269"/>
      <c r="E29" s="269"/>
      <c r="F29" s="269"/>
      <c r="G29" s="269"/>
      <c r="H29" s="269"/>
      <c r="I29" s="269"/>
      <c r="J29" s="269"/>
      <c r="K29" s="269"/>
      <c r="L29" s="269"/>
      <c r="M29" s="269"/>
      <c r="N29" s="269"/>
      <c r="O29" s="269"/>
      <c r="P29" s="269"/>
      <c r="Q29" s="269"/>
      <c r="R29" s="269"/>
      <c r="S29" s="269"/>
      <c r="T29" s="269"/>
      <c r="U29" s="269"/>
      <c r="V29" s="273" t="s">
        <v>153</v>
      </c>
    </row>
    <row r="30" spans="1:22" ht="14.5" x14ac:dyDescent="0.35">
      <c r="A30" s="269"/>
      <c r="B30" s="269"/>
      <c r="C30" s="269"/>
      <c r="D30" s="269"/>
      <c r="E30" s="269"/>
      <c r="F30" s="269"/>
      <c r="G30" s="269"/>
      <c r="H30" s="269"/>
      <c r="I30" s="269"/>
      <c r="J30" s="269"/>
      <c r="K30" s="269"/>
      <c r="L30" s="269"/>
      <c r="M30" s="269"/>
      <c r="N30" s="269"/>
      <c r="O30" s="269"/>
      <c r="P30" s="269"/>
      <c r="Q30" s="269"/>
      <c r="R30" s="269"/>
      <c r="S30" s="269"/>
      <c r="T30" s="269"/>
      <c r="U30" s="269"/>
      <c r="V30" s="273" t="s">
        <v>154</v>
      </c>
    </row>
    <row r="31" spans="1:22" ht="14.5" x14ac:dyDescent="0.35">
      <c r="A31" s="269"/>
      <c r="B31" s="269"/>
      <c r="C31" s="269"/>
      <c r="D31" s="269"/>
      <c r="E31" s="269"/>
      <c r="F31" s="269"/>
      <c r="G31" s="269"/>
      <c r="H31" s="269"/>
      <c r="I31" s="269"/>
      <c r="J31" s="269"/>
      <c r="K31" s="269"/>
      <c r="L31" s="269"/>
      <c r="M31" s="269"/>
      <c r="N31" s="269"/>
      <c r="O31" s="269"/>
      <c r="P31" s="269"/>
      <c r="Q31" s="269"/>
      <c r="R31" s="269"/>
      <c r="S31" s="269"/>
      <c r="T31" s="269"/>
      <c r="U31" s="269"/>
      <c r="V31" s="273" t="s">
        <v>155</v>
      </c>
    </row>
    <row r="32" spans="1:22" ht="14.5" x14ac:dyDescent="0.35">
      <c r="A32" s="269"/>
      <c r="B32" s="269"/>
      <c r="C32" s="269"/>
      <c r="D32" s="269"/>
      <c r="E32" s="269"/>
      <c r="F32" s="269"/>
      <c r="G32" s="269"/>
      <c r="H32" s="269"/>
      <c r="I32" s="269"/>
      <c r="J32" s="269"/>
      <c r="K32" s="269"/>
      <c r="L32" s="269"/>
      <c r="M32" s="269"/>
      <c r="N32" s="269"/>
      <c r="O32" s="269"/>
      <c r="P32" s="269"/>
      <c r="Q32" s="269"/>
      <c r="R32" s="269"/>
      <c r="S32" s="269"/>
      <c r="T32" s="269"/>
      <c r="U32" s="269"/>
      <c r="V32" s="273" t="s">
        <v>156</v>
      </c>
    </row>
    <row r="33" spans="1:22" ht="14.5" x14ac:dyDescent="0.35">
      <c r="A33" s="269"/>
      <c r="B33" s="269"/>
      <c r="C33" s="269"/>
      <c r="D33" s="269"/>
      <c r="E33" s="269"/>
      <c r="F33" s="269"/>
      <c r="G33" s="269"/>
      <c r="H33" s="269"/>
      <c r="I33" s="269"/>
      <c r="J33" s="269"/>
      <c r="K33" s="269"/>
      <c r="L33" s="269"/>
      <c r="M33" s="269"/>
      <c r="N33" s="269"/>
      <c r="O33" s="269"/>
      <c r="P33" s="269"/>
      <c r="Q33" s="269"/>
      <c r="R33" s="269"/>
      <c r="S33" s="269"/>
      <c r="T33" s="269"/>
      <c r="U33" s="269"/>
      <c r="V33" s="273" t="s">
        <v>157</v>
      </c>
    </row>
    <row r="34" spans="1:22" ht="14.5" x14ac:dyDescent="0.35">
      <c r="A34" s="269"/>
      <c r="B34" s="269"/>
      <c r="C34" s="269"/>
      <c r="D34" s="269"/>
      <c r="E34" s="269"/>
      <c r="F34" s="269"/>
      <c r="G34" s="269"/>
      <c r="H34" s="269"/>
      <c r="I34" s="269"/>
      <c r="J34" s="269"/>
      <c r="K34" s="269"/>
      <c r="L34" s="269"/>
      <c r="M34" s="269"/>
      <c r="N34" s="269"/>
      <c r="O34" s="269"/>
      <c r="P34" s="269"/>
      <c r="Q34" s="269"/>
      <c r="R34" s="269"/>
      <c r="S34" s="269"/>
      <c r="T34" s="269"/>
      <c r="U34" s="269"/>
      <c r="V34" s="273" t="s">
        <v>158</v>
      </c>
    </row>
    <row r="35" spans="1:22" ht="14.5" x14ac:dyDescent="0.35">
      <c r="A35" s="269"/>
      <c r="B35" s="269"/>
      <c r="C35" s="269"/>
      <c r="D35" s="269"/>
      <c r="E35" s="269"/>
      <c r="F35" s="269"/>
      <c r="G35" s="269"/>
      <c r="H35" s="269"/>
      <c r="I35" s="269"/>
      <c r="J35" s="269"/>
      <c r="K35" s="269"/>
      <c r="L35" s="269"/>
      <c r="M35" s="269"/>
      <c r="N35" s="269"/>
      <c r="O35" s="269"/>
      <c r="P35" s="269"/>
      <c r="Q35" s="269"/>
      <c r="R35" s="269"/>
      <c r="S35" s="269"/>
      <c r="T35" s="269"/>
      <c r="U35" s="269"/>
      <c r="V35" s="273" t="s">
        <v>159</v>
      </c>
    </row>
    <row r="36" spans="1:22" ht="14.5" x14ac:dyDescent="0.35">
      <c r="A36" s="269"/>
      <c r="B36" s="269"/>
      <c r="C36" s="269"/>
      <c r="D36" s="269"/>
      <c r="E36" s="269"/>
      <c r="F36" s="269"/>
      <c r="G36" s="269"/>
      <c r="H36" s="269"/>
      <c r="I36" s="269"/>
      <c r="J36" s="269"/>
      <c r="K36" s="269"/>
      <c r="L36" s="269"/>
      <c r="M36" s="269"/>
      <c r="N36" s="269"/>
      <c r="O36" s="269"/>
      <c r="P36" s="269"/>
      <c r="Q36" s="269"/>
      <c r="R36" s="269"/>
      <c r="S36" s="269"/>
      <c r="T36" s="269"/>
      <c r="U36" s="269"/>
      <c r="V36" s="273" t="s">
        <v>160</v>
      </c>
    </row>
    <row r="37" spans="1:22" ht="14.5" x14ac:dyDescent="0.35">
      <c r="A37" s="269"/>
      <c r="B37" s="269"/>
      <c r="C37" s="269"/>
      <c r="D37" s="269"/>
      <c r="E37" s="269"/>
      <c r="F37" s="269"/>
      <c r="G37" s="269"/>
      <c r="H37" s="269"/>
      <c r="I37" s="269"/>
      <c r="J37" s="269"/>
      <c r="K37" s="269"/>
      <c r="L37" s="269"/>
      <c r="M37" s="269"/>
      <c r="N37" s="269"/>
      <c r="O37" s="269"/>
      <c r="P37" s="269"/>
      <c r="Q37" s="269"/>
      <c r="R37" s="269"/>
      <c r="S37" s="269"/>
      <c r="T37" s="269"/>
      <c r="U37" s="269"/>
      <c r="V37" s="273" t="s">
        <v>161</v>
      </c>
    </row>
    <row r="38" spans="1:22" ht="14.5" x14ac:dyDescent="0.35">
      <c r="A38" s="269"/>
      <c r="B38" s="269"/>
      <c r="C38" s="269"/>
      <c r="D38" s="269"/>
      <c r="E38" s="269"/>
      <c r="F38" s="269"/>
      <c r="G38" s="269"/>
      <c r="H38" s="269"/>
      <c r="I38" s="269"/>
      <c r="J38" s="269"/>
      <c r="K38" s="269"/>
      <c r="L38" s="269"/>
      <c r="M38" s="269"/>
      <c r="N38" s="269"/>
      <c r="O38" s="269"/>
      <c r="P38" s="269"/>
      <c r="Q38" s="269"/>
      <c r="R38" s="269"/>
      <c r="S38" s="269"/>
      <c r="T38" s="269"/>
      <c r="U38" s="269"/>
      <c r="V38" s="273" t="s">
        <v>162</v>
      </c>
    </row>
    <row r="39" spans="1:22" ht="14.5" x14ac:dyDescent="0.35">
      <c r="A39" s="269"/>
      <c r="B39" s="269"/>
      <c r="C39" s="269"/>
      <c r="D39" s="269"/>
      <c r="E39" s="269"/>
      <c r="F39" s="269"/>
      <c r="G39" s="269"/>
      <c r="H39" s="269"/>
      <c r="I39" s="269"/>
      <c r="J39" s="269"/>
      <c r="K39" s="269"/>
      <c r="L39" s="269"/>
      <c r="M39" s="269"/>
      <c r="N39" s="269"/>
      <c r="O39" s="269"/>
      <c r="P39" s="269"/>
      <c r="Q39" s="269"/>
      <c r="R39" s="269"/>
      <c r="S39" s="269"/>
      <c r="T39" s="269"/>
      <c r="U39" s="269"/>
      <c r="V39" s="273" t="s">
        <v>163</v>
      </c>
    </row>
    <row r="40" spans="1:22" ht="14.5" x14ac:dyDescent="0.35">
      <c r="A40" s="269"/>
      <c r="B40" s="269"/>
      <c r="C40" s="269"/>
      <c r="D40" s="269"/>
      <c r="E40" s="269"/>
      <c r="F40" s="269"/>
      <c r="G40" s="269"/>
      <c r="H40" s="269"/>
      <c r="I40" s="269"/>
      <c r="J40" s="269"/>
      <c r="K40" s="269"/>
      <c r="L40" s="269"/>
      <c r="M40" s="269"/>
      <c r="N40" s="269"/>
      <c r="O40" s="269"/>
      <c r="P40" s="269"/>
      <c r="Q40" s="269"/>
      <c r="R40" s="269"/>
      <c r="S40" s="269"/>
      <c r="T40" s="269"/>
      <c r="U40" s="269"/>
      <c r="V40" s="273" t="s">
        <v>164</v>
      </c>
    </row>
    <row r="41" spans="1:22" ht="14.5" x14ac:dyDescent="0.35">
      <c r="A41" s="269"/>
      <c r="B41" s="269"/>
      <c r="C41" s="269"/>
      <c r="D41" s="269"/>
      <c r="E41" s="269"/>
      <c r="F41" s="269"/>
      <c r="G41" s="269"/>
      <c r="H41" s="269"/>
      <c r="I41" s="269"/>
      <c r="J41" s="269"/>
      <c r="K41" s="269"/>
      <c r="L41" s="269"/>
      <c r="M41" s="269"/>
      <c r="N41" s="269"/>
      <c r="O41" s="269"/>
      <c r="P41" s="269"/>
      <c r="Q41" s="269"/>
      <c r="R41" s="269"/>
      <c r="S41" s="269"/>
      <c r="T41" s="269"/>
      <c r="U41" s="269"/>
      <c r="V41" s="273" t="s">
        <v>165</v>
      </c>
    </row>
    <row r="42" spans="1:22" ht="14.5" x14ac:dyDescent="0.35">
      <c r="A42" s="269"/>
      <c r="B42" s="269"/>
      <c r="C42" s="269"/>
      <c r="D42" s="269"/>
      <c r="E42" s="269"/>
      <c r="F42" s="269"/>
      <c r="G42" s="269"/>
      <c r="H42" s="269"/>
      <c r="I42" s="269"/>
      <c r="J42" s="269"/>
      <c r="K42" s="269"/>
      <c r="L42" s="269"/>
      <c r="M42" s="269"/>
      <c r="N42" s="269"/>
      <c r="O42" s="269"/>
      <c r="P42" s="269"/>
      <c r="Q42" s="269"/>
      <c r="R42" s="269"/>
      <c r="S42" s="269"/>
      <c r="T42" s="269"/>
      <c r="U42" s="269"/>
      <c r="V42" s="273" t="s">
        <v>166</v>
      </c>
    </row>
    <row r="43" spans="1:22" ht="14.5" x14ac:dyDescent="0.35">
      <c r="A43" s="269"/>
      <c r="B43" s="269"/>
      <c r="C43" s="269"/>
      <c r="D43" s="269"/>
      <c r="E43" s="269"/>
      <c r="F43" s="269"/>
      <c r="G43" s="269"/>
      <c r="H43" s="269"/>
      <c r="I43" s="269"/>
      <c r="J43" s="269"/>
      <c r="K43" s="269"/>
      <c r="L43" s="269"/>
      <c r="M43" s="269"/>
      <c r="N43" s="269"/>
      <c r="O43" s="269"/>
      <c r="P43" s="269"/>
      <c r="Q43" s="269"/>
      <c r="R43" s="269"/>
      <c r="S43" s="269"/>
      <c r="T43" s="269"/>
      <c r="U43" s="269"/>
      <c r="V43" s="273" t="s">
        <v>167</v>
      </c>
    </row>
    <row r="44" spans="1:22" ht="14.5" x14ac:dyDescent="0.35">
      <c r="A44" s="269"/>
      <c r="B44" s="269"/>
      <c r="C44" s="269"/>
      <c r="D44" s="269"/>
      <c r="E44" s="269"/>
      <c r="F44" s="269"/>
      <c r="G44" s="269"/>
      <c r="H44" s="269"/>
      <c r="I44" s="269"/>
      <c r="J44" s="269"/>
      <c r="K44" s="269"/>
      <c r="L44" s="269"/>
      <c r="M44" s="269"/>
      <c r="N44" s="269"/>
      <c r="O44" s="269"/>
      <c r="P44" s="269"/>
      <c r="Q44" s="269"/>
      <c r="R44" s="269"/>
      <c r="S44" s="269"/>
      <c r="T44" s="269"/>
      <c r="U44" s="269"/>
      <c r="V44" s="273" t="s">
        <v>168</v>
      </c>
    </row>
    <row r="45" spans="1:22" ht="14.5" x14ac:dyDescent="0.35">
      <c r="A45" s="269"/>
      <c r="B45" s="269"/>
      <c r="C45" s="269"/>
      <c r="D45" s="269"/>
      <c r="E45" s="269"/>
      <c r="F45" s="269"/>
      <c r="G45" s="269"/>
      <c r="H45" s="269"/>
      <c r="I45" s="269"/>
      <c r="J45" s="269"/>
      <c r="K45" s="269"/>
      <c r="L45" s="269"/>
      <c r="M45" s="269"/>
      <c r="N45" s="269"/>
      <c r="O45" s="269"/>
      <c r="P45" s="269"/>
      <c r="Q45" s="269"/>
      <c r="R45" s="269"/>
      <c r="S45" s="269"/>
      <c r="T45" s="269"/>
      <c r="U45" s="269"/>
      <c r="V45" s="273" t="s">
        <v>169</v>
      </c>
    </row>
    <row r="46" spans="1:22" ht="14.5" x14ac:dyDescent="0.35">
      <c r="A46" s="269"/>
      <c r="B46" s="269"/>
      <c r="C46" s="269"/>
      <c r="D46" s="269"/>
      <c r="E46" s="269"/>
      <c r="F46" s="269"/>
      <c r="G46" s="269"/>
      <c r="H46" s="269"/>
      <c r="I46" s="269"/>
      <c r="J46" s="269"/>
      <c r="K46" s="269"/>
      <c r="L46" s="269"/>
      <c r="M46" s="269"/>
      <c r="N46" s="269"/>
      <c r="O46" s="269"/>
      <c r="P46" s="269"/>
      <c r="Q46" s="269"/>
      <c r="R46" s="269"/>
      <c r="S46" s="269"/>
      <c r="T46" s="269"/>
      <c r="U46" s="269"/>
      <c r="V46" s="273" t="s">
        <v>170</v>
      </c>
    </row>
    <row r="47" spans="1:22" ht="14.5" x14ac:dyDescent="0.35">
      <c r="A47" s="269"/>
      <c r="B47" s="269"/>
      <c r="C47" s="269"/>
      <c r="D47" s="269"/>
      <c r="E47" s="269"/>
      <c r="F47" s="269"/>
      <c r="G47" s="269"/>
      <c r="H47" s="269"/>
      <c r="I47" s="269"/>
      <c r="J47" s="269"/>
      <c r="K47" s="269"/>
      <c r="L47" s="269"/>
      <c r="M47" s="269"/>
      <c r="N47" s="269"/>
      <c r="O47" s="269"/>
      <c r="P47" s="269"/>
      <c r="Q47" s="269"/>
      <c r="R47" s="269"/>
      <c r="S47" s="269"/>
      <c r="T47" s="269"/>
      <c r="U47" s="269"/>
      <c r="V47" s="273" t="s">
        <v>171</v>
      </c>
    </row>
    <row r="48" spans="1:22" ht="14.5" x14ac:dyDescent="0.35">
      <c r="A48" s="269"/>
      <c r="B48" s="269"/>
      <c r="C48" s="269"/>
      <c r="D48" s="269"/>
      <c r="E48" s="269"/>
      <c r="F48" s="269"/>
      <c r="G48" s="269"/>
      <c r="H48" s="269"/>
      <c r="I48" s="269"/>
      <c r="J48" s="269"/>
      <c r="K48" s="269"/>
      <c r="L48" s="269"/>
      <c r="M48" s="269"/>
      <c r="N48" s="269"/>
      <c r="O48" s="269"/>
      <c r="P48" s="269"/>
      <c r="Q48" s="269"/>
      <c r="R48" s="269"/>
      <c r="S48" s="269"/>
      <c r="T48" s="269"/>
      <c r="U48" s="269"/>
      <c r="V48" s="273" t="s">
        <v>172</v>
      </c>
    </row>
    <row r="49" spans="1:22" ht="14.5" x14ac:dyDescent="0.35">
      <c r="A49" s="269"/>
      <c r="B49" s="269"/>
      <c r="C49" s="269"/>
      <c r="D49" s="269"/>
      <c r="E49" s="269"/>
      <c r="F49" s="269"/>
      <c r="G49" s="269"/>
      <c r="H49" s="269"/>
      <c r="I49" s="269"/>
      <c r="J49" s="269"/>
      <c r="K49" s="269"/>
      <c r="L49" s="269"/>
      <c r="M49" s="269"/>
      <c r="N49" s="269"/>
      <c r="O49" s="269"/>
      <c r="P49" s="269"/>
      <c r="Q49" s="269"/>
      <c r="R49" s="269"/>
      <c r="S49" s="269"/>
      <c r="T49" s="269"/>
      <c r="U49" s="269"/>
      <c r="V49" s="273" t="s">
        <v>173</v>
      </c>
    </row>
    <row r="50" spans="1:22" ht="14.5" x14ac:dyDescent="0.35">
      <c r="A50" s="269"/>
      <c r="B50" s="269"/>
      <c r="C50" s="269"/>
      <c r="D50" s="269"/>
      <c r="E50" s="269"/>
      <c r="F50" s="269"/>
      <c r="G50" s="269"/>
      <c r="H50" s="269"/>
      <c r="I50" s="269"/>
      <c r="J50" s="269"/>
      <c r="K50" s="269"/>
      <c r="L50" s="269"/>
      <c r="M50" s="269"/>
      <c r="N50" s="269"/>
      <c r="O50" s="269"/>
      <c r="P50" s="269"/>
      <c r="Q50" s="269"/>
      <c r="R50" s="269"/>
      <c r="S50" s="269"/>
      <c r="T50" s="269"/>
      <c r="U50" s="269"/>
      <c r="V50" s="273" t="s">
        <v>174</v>
      </c>
    </row>
    <row r="51" spans="1:22" ht="14.5" x14ac:dyDescent="0.35">
      <c r="A51" s="269"/>
      <c r="B51" s="269"/>
      <c r="C51" s="269"/>
      <c r="D51" s="269"/>
      <c r="E51" s="269"/>
      <c r="F51" s="269"/>
      <c r="G51" s="269"/>
      <c r="H51" s="269"/>
      <c r="I51" s="269"/>
      <c r="J51" s="269"/>
      <c r="K51" s="269"/>
      <c r="L51" s="269"/>
      <c r="M51" s="269"/>
      <c r="N51" s="269"/>
      <c r="O51" s="269"/>
      <c r="P51" s="269"/>
      <c r="Q51" s="269"/>
      <c r="R51" s="269"/>
      <c r="S51" s="269"/>
      <c r="T51" s="269"/>
      <c r="U51" s="269"/>
      <c r="V51" s="273" t="s">
        <v>175</v>
      </c>
    </row>
    <row r="52" spans="1:22" ht="14.5" x14ac:dyDescent="0.35">
      <c r="A52" s="269"/>
      <c r="B52" s="269"/>
      <c r="C52" s="269"/>
      <c r="D52" s="269"/>
      <c r="E52" s="269"/>
      <c r="F52" s="269"/>
      <c r="G52" s="269"/>
      <c r="H52" s="269"/>
      <c r="I52" s="269"/>
      <c r="J52" s="269"/>
      <c r="K52" s="269"/>
      <c r="L52" s="269"/>
      <c r="M52" s="269"/>
      <c r="N52" s="269"/>
      <c r="O52" s="269"/>
      <c r="P52" s="269"/>
      <c r="Q52" s="269"/>
      <c r="R52" s="269"/>
      <c r="S52" s="269"/>
      <c r="T52" s="269"/>
      <c r="U52" s="269"/>
      <c r="V52" s="273"/>
    </row>
    <row r="53" spans="1:22" ht="14.5" x14ac:dyDescent="0.35">
      <c r="A53" s="269"/>
      <c r="B53" s="269"/>
      <c r="C53" s="269"/>
      <c r="D53" s="269"/>
      <c r="E53" s="269"/>
      <c r="F53" s="269"/>
      <c r="G53" s="269"/>
      <c r="H53" s="269"/>
      <c r="I53" s="269"/>
      <c r="J53" s="269"/>
      <c r="K53" s="269"/>
      <c r="L53" s="269"/>
      <c r="M53" s="269"/>
      <c r="N53" s="269"/>
      <c r="O53" s="269"/>
      <c r="P53" s="269"/>
      <c r="Q53" s="269"/>
      <c r="R53" s="269"/>
      <c r="S53" s="269"/>
      <c r="T53" s="269"/>
      <c r="U53" s="269"/>
      <c r="V53" s="273"/>
    </row>
  </sheetData>
  <sheetProtection algorithmName="SHA-512" hashValue="QUUIXNZ+mNXkqrFafDEnR5QBzeYrTQAAKrqmhG0QRyAMxHCgO/ukxtKjZc9e2otJ7PpzFIAr/QpWn3fQgeLOOg==" saltValue="03kLlHpDplBbyKlwUVhrfQ==" spinCount="100000" sheet="1" objects="1" scenarios="1" selectLockedCells="1" selectUnlockedCell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2D2F2-EE3D-47EA-B4D7-5A03A981EDAF}">
  <sheetPr>
    <tabColor theme="4" tint="-0.499984740745262"/>
  </sheetPr>
  <dimension ref="A1:AB65"/>
  <sheetViews>
    <sheetView showGridLines="0" zoomScale="80" zoomScaleNormal="80" workbookViewId="0">
      <selection activeCell="I20" sqref="I20"/>
    </sheetView>
  </sheetViews>
  <sheetFormatPr defaultColWidth="0" defaultRowHeight="13" zeroHeight="1" x14ac:dyDescent="0.3"/>
  <cols>
    <col min="1" max="2" width="2.453125" style="8" customWidth="1"/>
    <col min="3" max="3" width="4.1796875" style="32" customWidth="1"/>
    <col min="4" max="4" width="2.453125" style="26" customWidth="1"/>
    <col min="5" max="5" width="53.54296875" style="8" bestFit="1" customWidth="1"/>
    <col min="6" max="6" width="2.54296875" style="8" customWidth="1"/>
    <col min="7" max="7" width="11.54296875" style="41" bestFit="1" customWidth="1"/>
    <col min="8" max="8" width="2.54296875" style="41" customWidth="1"/>
    <col min="9" max="9" width="27.54296875" style="8" customWidth="1"/>
    <col min="10" max="10" width="2.54296875" style="8" customWidth="1"/>
    <col min="11" max="12" width="27.54296875" style="8" hidden="1" customWidth="1"/>
    <col min="13" max="13" width="2.453125" style="4" hidden="1" customWidth="1"/>
    <col min="14" max="14" width="2.453125" style="8" hidden="1" customWidth="1"/>
    <col min="15" max="23" width="11.453125" style="8" hidden="1" customWidth="1"/>
    <col min="24" max="24" width="12" style="8" hidden="1" customWidth="1"/>
    <col min="25" max="27" width="12.453125" style="8" hidden="1" customWidth="1"/>
    <col min="28" max="28" width="4.453125" hidden="1" customWidth="1"/>
    <col min="29" max="16384" width="8.54296875" style="8" hidden="1"/>
  </cols>
  <sheetData>
    <row r="1" spans="1:27" s="13" customFormat="1" ht="17.5" x14ac:dyDescent="0.35">
      <c r="A1" s="11" t="str" cm="1">
        <f t="array" aca="1" ref="A1" ca="1">RIGHT(CELL("filename",A$2),LEN(CELL("filename",A$2))-FIND("]",CELL("filename",A$2)))</f>
        <v>Cockpit</v>
      </c>
      <c r="B1" s="11"/>
      <c r="C1" s="11"/>
      <c r="D1" s="11"/>
      <c r="E1" s="11"/>
      <c r="F1" s="11"/>
      <c r="G1" s="37"/>
      <c r="H1" s="37"/>
      <c r="I1" s="11"/>
      <c r="J1" s="12"/>
      <c r="K1" s="11"/>
      <c r="L1" s="11"/>
      <c r="M1" s="11"/>
      <c r="N1" s="11"/>
      <c r="O1" s="11"/>
      <c r="P1" s="11"/>
      <c r="Q1" s="11"/>
      <c r="R1" s="11"/>
      <c r="S1" s="11"/>
      <c r="T1" s="11"/>
      <c r="U1" s="11"/>
      <c r="V1" s="11"/>
      <c r="W1" s="11"/>
      <c r="X1" s="11"/>
    </row>
    <row r="2" spans="1:27" s="1" customFormat="1" x14ac:dyDescent="0.3">
      <c r="A2" s="14"/>
      <c r="B2" s="14"/>
      <c r="C2" s="14"/>
      <c r="D2" s="14"/>
      <c r="E2" s="14"/>
      <c r="F2" s="14"/>
      <c r="G2" s="38"/>
      <c r="H2" s="38"/>
      <c r="I2" s="14"/>
      <c r="J2" s="14"/>
      <c r="K2" s="14"/>
      <c r="L2" s="14"/>
      <c r="M2" s="14"/>
      <c r="N2" s="14"/>
      <c r="O2" s="14"/>
      <c r="P2" s="14"/>
      <c r="Q2" s="14"/>
      <c r="R2" s="14"/>
      <c r="S2" s="14"/>
      <c r="T2" s="14"/>
      <c r="U2" s="14"/>
      <c r="V2" s="14"/>
      <c r="W2" s="14"/>
      <c r="X2" s="14"/>
      <c r="Y2" s="14"/>
      <c r="Z2" s="14"/>
      <c r="AA2" s="14"/>
    </row>
    <row r="3" spans="1:27" customFormat="1" x14ac:dyDescent="0.3">
      <c r="A3" s="31" t="s">
        <v>176</v>
      </c>
      <c r="C3" s="3"/>
      <c r="D3" s="33"/>
      <c r="G3" s="39"/>
      <c r="H3" s="39"/>
    </row>
    <row r="4" spans="1:27" ht="13.5" customHeight="1" x14ac:dyDescent="0.3">
      <c r="D4" s="32"/>
      <c r="E4" s="32"/>
      <c r="F4" s="32"/>
      <c r="G4" s="40"/>
      <c r="H4" s="40"/>
      <c r="I4" s="32"/>
      <c r="J4" s="32"/>
      <c r="K4" s="32"/>
      <c r="L4" s="32"/>
    </row>
    <row r="5" spans="1:27" customFormat="1" x14ac:dyDescent="0.3">
      <c r="B5" s="15" t="s">
        <v>44</v>
      </c>
      <c r="C5" s="15"/>
      <c r="D5" s="15"/>
      <c r="E5" s="15"/>
      <c r="F5" s="15"/>
      <c r="G5" s="37"/>
      <c r="H5" s="37"/>
      <c r="I5" s="15"/>
      <c r="J5" s="91"/>
      <c r="K5" s="15"/>
      <c r="L5" s="15"/>
      <c r="M5" s="15"/>
      <c r="N5" s="15"/>
      <c r="O5" s="15"/>
      <c r="P5" s="15"/>
      <c r="Q5" s="15"/>
      <c r="R5" s="15"/>
      <c r="S5" s="15"/>
      <c r="T5" s="15"/>
      <c r="U5" s="15"/>
      <c r="V5" s="15"/>
      <c r="W5" s="15"/>
      <c r="X5" s="15"/>
      <c r="Y5" s="15"/>
      <c r="Z5" s="15"/>
      <c r="AA5" s="15"/>
    </row>
    <row r="6" spans="1:27" ht="13.4" customHeight="1" x14ac:dyDescent="0.3">
      <c r="E6" s="404" t="s">
        <v>177</v>
      </c>
      <c r="F6" s="404"/>
      <c r="G6" s="404"/>
      <c r="H6" s="404"/>
      <c r="I6" s="404"/>
      <c r="J6" s="55"/>
    </row>
    <row r="7" spans="1:27" x14ac:dyDescent="0.3">
      <c r="C7" s="3"/>
      <c r="J7" s="55"/>
    </row>
    <row r="8" spans="1:27" customFormat="1" ht="12" customHeight="1" x14ac:dyDescent="0.3">
      <c r="A8" s="8"/>
      <c r="B8" s="15" t="s">
        <v>178</v>
      </c>
      <c r="C8" s="15"/>
      <c r="D8" s="15"/>
      <c r="E8" s="15"/>
      <c r="F8" s="15"/>
      <c r="G8" s="37"/>
      <c r="H8" s="37"/>
      <c r="I8" s="15"/>
      <c r="J8" s="91"/>
      <c r="K8" s="15"/>
      <c r="L8" s="15"/>
      <c r="M8" s="15"/>
      <c r="N8" s="15"/>
      <c r="O8" s="15"/>
      <c r="P8" s="15"/>
      <c r="Q8" s="15"/>
      <c r="R8" s="15"/>
      <c r="S8" s="15"/>
      <c r="T8" s="15"/>
      <c r="U8" s="15"/>
      <c r="V8" s="15"/>
      <c r="W8" s="15"/>
      <c r="X8" s="15"/>
      <c r="Y8" s="15"/>
      <c r="Z8" s="15"/>
      <c r="AA8" s="15"/>
    </row>
    <row r="9" spans="1:27" x14ac:dyDescent="0.3">
      <c r="J9" s="55"/>
    </row>
    <row r="10" spans="1:27" x14ac:dyDescent="0.3">
      <c r="E10" s="8" t="s">
        <v>179</v>
      </c>
      <c r="G10" s="41" t="s">
        <v>178</v>
      </c>
      <c r="I10" s="49" t="s">
        <v>180</v>
      </c>
      <c r="J10" s="55"/>
    </row>
    <row r="11" spans="1:27" x14ac:dyDescent="0.3">
      <c r="J11" s="55"/>
      <c r="O11" s="3"/>
      <c r="P11" s="3"/>
      <c r="Q11" s="3"/>
      <c r="R11" s="3"/>
      <c r="S11" s="3"/>
      <c r="T11" s="3"/>
      <c r="U11" s="3"/>
      <c r="V11" s="3"/>
      <c r="W11" s="3"/>
      <c r="X11" s="3"/>
      <c r="Y11" s="3"/>
      <c r="Z11" s="3"/>
      <c r="AA11" s="3"/>
    </row>
    <row r="12" spans="1:27" customFormat="1" x14ac:dyDescent="0.3">
      <c r="E12" s="215" t="s">
        <v>181</v>
      </c>
      <c r="G12" s="39" t="s">
        <v>182</v>
      </c>
      <c r="H12" s="39"/>
      <c r="I12" s="222">
        <v>3</v>
      </c>
      <c r="J12" s="56"/>
    </row>
    <row r="13" spans="1:27" customFormat="1" x14ac:dyDescent="0.3">
      <c r="G13" s="39"/>
      <c r="H13" s="39"/>
      <c r="J13" s="56"/>
    </row>
    <row r="14" spans="1:27" x14ac:dyDescent="0.3">
      <c r="B14" s="15" t="s">
        <v>183</v>
      </c>
      <c r="C14" s="15"/>
      <c r="D14" s="15"/>
      <c r="E14" s="15"/>
      <c r="F14" s="15"/>
      <c r="G14" s="37"/>
      <c r="H14" s="37"/>
      <c r="I14" s="15"/>
      <c r="J14" s="91"/>
      <c r="K14" s="15"/>
      <c r="L14" s="15"/>
      <c r="M14" s="15"/>
      <c r="N14" s="15"/>
      <c r="O14" s="15"/>
      <c r="P14" s="15"/>
      <c r="Q14" s="15"/>
      <c r="R14" s="15"/>
      <c r="S14" s="15"/>
      <c r="T14" s="15"/>
      <c r="U14" s="15"/>
      <c r="V14" s="15"/>
      <c r="W14" s="15"/>
      <c r="X14" s="15"/>
      <c r="Y14" s="15"/>
      <c r="Z14" s="15"/>
      <c r="AA14" s="15"/>
    </row>
    <row r="15" spans="1:27" x14ac:dyDescent="0.3">
      <c r="J15" s="55"/>
    </row>
    <row r="16" spans="1:27" x14ac:dyDescent="0.3">
      <c r="D16" s="26" t="s">
        <v>184</v>
      </c>
      <c r="J16" s="55"/>
    </row>
    <row r="17" spans="1:28" x14ac:dyDescent="0.3">
      <c r="E17" s="48" t="s">
        <v>85</v>
      </c>
      <c r="G17" s="44" t="s">
        <v>185</v>
      </c>
      <c r="H17" s="44"/>
      <c r="I17" s="163">
        <f>'Wholesale Tariff Inputs'!E10</f>
        <v>0</v>
      </c>
      <c r="J17" s="55"/>
    </row>
    <row r="18" spans="1:28" x14ac:dyDescent="0.3">
      <c r="E18" s="48" t="s">
        <v>86</v>
      </c>
      <c r="G18" s="44" t="s">
        <v>185</v>
      </c>
      <c r="H18" s="44"/>
      <c r="I18" s="163">
        <f>'Wholesale Tariff Inputs'!E11</f>
        <v>0</v>
      </c>
      <c r="J18" s="226"/>
      <c r="O18" s="3"/>
      <c r="P18" s="3"/>
      <c r="Q18" s="3"/>
      <c r="R18" s="3"/>
      <c r="S18" s="3"/>
      <c r="T18" s="3"/>
      <c r="U18" s="3"/>
      <c r="V18" s="3"/>
      <c r="W18" s="3"/>
      <c r="X18" s="3"/>
      <c r="Y18" s="3"/>
      <c r="Z18" s="3"/>
      <c r="AA18" s="3"/>
    </row>
    <row r="19" spans="1:28" x14ac:dyDescent="0.3">
      <c r="E19" s="48"/>
      <c r="J19" s="55"/>
    </row>
    <row r="20" spans="1:28" x14ac:dyDescent="0.3">
      <c r="D20" s="26" t="s">
        <v>186</v>
      </c>
      <c r="E20" s="48"/>
      <c r="J20" s="55"/>
    </row>
    <row r="21" spans="1:28" x14ac:dyDescent="0.3">
      <c r="E21" s="48" t="s">
        <v>187</v>
      </c>
      <c r="G21" s="44" t="s">
        <v>89</v>
      </c>
      <c r="H21" s="44"/>
      <c r="I21" s="163">
        <f>'Wholesale Tariff Inputs'!E14</f>
        <v>0</v>
      </c>
      <c r="J21" s="226"/>
      <c r="O21" s="3"/>
      <c r="P21" s="3"/>
      <c r="Q21" s="3"/>
      <c r="R21" s="3"/>
      <c r="S21" s="3"/>
      <c r="T21" s="3"/>
      <c r="U21" s="3"/>
      <c r="V21" s="3"/>
      <c r="W21" s="3"/>
      <c r="X21" s="3"/>
      <c r="Y21" s="3"/>
      <c r="Z21" s="3"/>
      <c r="AA21" s="3"/>
    </row>
    <row r="22" spans="1:28" x14ac:dyDescent="0.3">
      <c r="C22" s="277">
        <v>4</v>
      </c>
      <c r="E22" s="276" t="s">
        <v>188</v>
      </c>
      <c r="G22" s="44"/>
      <c r="H22" s="44"/>
      <c r="I22" s="163" t="e">
        <f>IF((I21*1000)/I29&gt;=C22,I21,I29*C22/1000)</f>
        <v>#DIV/0!</v>
      </c>
      <c r="J22" s="226"/>
      <c r="O22" s="3"/>
      <c r="P22" s="3"/>
      <c r="Q22" s="3"/>
      <c r="R22" s="3"/>
      <c r="S22" s="3"/>
      <c r="T22" s="3"/>
      <c r="U22" s="3"/>
      <c r="V22" s="3"/>
      <c r="W22" s="3"/>
      <c r="X22" s="3"/>
      <c r="Y22" s="3"/>
      <c r="Z22" s="3"/>
      <c r="AA22" s="3"/>
    </row>
    <row r="23" spans="1:28" x14ac:dyDescent="0.3">
      <c r="E23" s="48" t="s">
        <v>189</v>
      </c>
      <c r="G23" s="44" t="s">
        <v>89</v>
      </c>
      <c r="H23" s="44"/>
      <c r="I23" s="163">
        <f>'Wholesale Tariff Inputs'!E15</f>
        <v>0</v>
      </c>
      <c r="J23" s="226"/>
      <c r="O23" s="3"/>
      <c r="P23" s="3"/>
      <c r="Q23" s="3"/>
      <c r="R23" s="3"/>
      <c r="S23" s="3"/>
      <c r="T23" s="3"/>
      <c r="U23" s="3"/>
      <c r="V23" s="3"/>
      <c r="W23" s="3"/>
      <c r="X23" s="3"/>
      <c r="Y23" s="3"/>
      <c r="Z23" s="3"/>
      <c r="AA23" s="3"/>
    </row>
    <row r="24" spans="1:28" x14ac:dyDescent="0.3">
      <c r="C24" s="277">
        <v>4</v>
      </c>
      <c r="E24" s="276" t="s">
        <v>190</v>
      </c>
      <c r="G24" s="44"/>
      <c r="H24" s="44"/>
      <c r="I24" s="163" t="e">
        <f>IF((I23*1000)/I29&gt;=C24,I23,I29*C24/1000)</f>
        <v>#DIV/0!</v>
      </c>
      <c r="J24" s="226"/>
      <c r="O24" s="3"/>
      <c r="P24" s="3"/>
      <c r="Q24" s="3"/>
      <c r="R24" s="3"/>
      <c r="S24" s="3"/>
      <c r="T24" s="3"/>
      <c r="U24" s="3"/>
      <c r="V24" s="3"/>
      <c r="W24" s="3"/>
      <c r="X24" s="3"/>
      <c r="Y24" s="3"/>
      <c r="Z24" s="3"/>
      <c r="AA24" s="3"/>
    </row>
    <row r="25" spans="1:28" x14ac:dyDescent="0.3">
      <c r="E25" s="48"/>
      <c r="I25" s="54"/>
      <c r="J25" s="55"/>
    </row>
    <row r="26" spans="1:28" x14ac:dyDescent="0.3">
      <c r="D26" s="26" t="s">
        <v>191</v>
      </c>
      <c r="E26" s="48"/>
      <c r="I26" s="54"/>
      <c r="J26" s="55"/>
    </row>
    <row r="27" spans="1:28" x14ac:dyDescent="0.3">
      <c r="E27" s="48" t="s">
        <v>192</v>
      </c>
      <c r="G27" s="44" t="s">
        <v>193</v>
      </c>
      <c r="H27" s="44"/>
      <c r="I27" s="163">
        <f>'Wholesale Tariff Inputs'!E17</f>
        <v>0</v>
      </c>
      <c r="J27" s="226"/>
      <c r="O27" s="3"/>
      <c r="P27" s="3"/>
      <c r="Q27" s="3"/>
      <c r="R27" s="3"/>
      <c r="S27" s="3"/>
      <c r="T27" s="3"/>
      <c r="U27" s="3"/>
      <c r="V27" s="3"/>
      <c r="W27" s="3"/>
      <c r="X27" s="3"/>
      <c r="Y27" s="3"/>
      <c r="Z27" s="3"/>
      <c r="AA27" s="3"/>
    </row>
    <row r="28" spans="1:28" x14ac:dyDescent="0.3">
      <c r="E28" s="48" t="s">
        <v>194</v>
      </c>
      <c r="G28" s="44" t="s">
        <v>193</v>
      </c>
      <c r="H28" s="44"/>
      <c r="I28" s="163">
        <f>'Wholesale Tariff Inputs'!E18</f>
        <v>0</v>
      </c>
      <c r="J28" s="55"/>
      <c r="O28" s="3"/>
      <c r="P28" s="3"/>
      <c r="Q28" s="3"/>
      <c r="R28" s="3"/>
      <c r="S28" s="3"/>
      <c r="T28" s="3"/>
      <c r="U28" s="3"/>
      <c r="V28" s="3"/>
      <c r="W28" s="3"/>
      <c r="X28" s="3"/>
      <c r="Y28" s="3"/>
      <c r="Z28" s="3"/>
      <c r="AA28" s="3"/>
    </row>
    <row r="29" spans="1:28" s="7" customFormat="1" x14ac:dyDescent="0.3">
      <c r="A29" s="8"/>
      <c r="B29" s="8"/>
      <c r="C29" s="3"/>
      <c r="D29" s="33"/>
      <c r="E29" s="48" t="s">
        <v>195</v>
      </c>
      <c r="F29" s="3"/>
      <c r="G29" s="44" t="s">
        <v>193</v>
      </c>
      <c r="H29" s="44"/>
      <c r="I29" s="35">
        <f>IFERROR(SUM($I$27:$I$28),"ERROR")</f>
        <v>0</v>
      </c>
      <c r="J29" s="3"/>
      <c r="K29" s="3"/>
      <c r="L29" s="3"/>
      <c r="M29" s="3"/>
      <c r="N29" s="3"/>
      <c r="O29" s="3"/>
      <c r="P29" s="3"/>
      <c r="Q29" s="3"/>
      <c r="R29" s="3"/>
      <c r="S29" s="3"/>
      <c r="T29" s="3"/>
      <c r="U29" s="3"/>
      <c r="V29" s="3"/>
      <c r="W29" s="3"/>
      <c r="X29" s="3"/>
      <c r="Y29" s="3"/>
      <c r="Z29" s="3"/>
      <c r="AA29" s="3"/>
      <c r="AB29"/>
    </row>
    <row r="30" spans="1:28" x14ac:dyDescent="0.3">
      <c r="I30" s="54"/>
      <c r="J30" s="55"/>
    </row>
    <row r="31" spans="1:28" x14ac:dyDescent="0.3">
      <c r="D31" s="26" t="s">
        <v>85</v>
      </c>
      <c r="G31" s="44"/>
      <c r="H31" s="44"/>
      <c r="I31" s="54"/>
      <c r="J31" s="226"/>
      <c r="O31" s="3"/>
      <c r="P31" s="3"/>
      <c r="Q31" s="3"/>
      <c r="R31" s="3"/>
      <c r="S31" s="3"/>
      <c r="T31" s="3"/>
      <c r="U31" s="3"/>
      <c r="V31" s="3"/>
      <c r="W31" s="3"/>
      <c r="X31" s="3"/>
      <c r="Y31" s="3"/>
      <c r="Z31" s="3"/>
      <c r="AA31" s="3"/>
    </row>
    <row r="32" spans="1:28" x14ac:dyDescent="0.3">
      <c r="E32" s="8" t="s">
        <v>94</v>
      </c>
      <c r="G32" s="44" t="s">
        <v>95</v>
      </c>
      <c r="H32" s="44"/>
      <c r="I32" s="163">
        <f>'Wholesale Tariff Inputs'!E20</f>
        <v>0</v>
      </c>
      <c r="J32" s="226"/>
      <c r="O32" s="3"/>
      <c r="P32" s="3"/>
      <c r="Q32" s="3"/>
      <c r="R32" s="3"/>
      <c r="S32" s="3"/>
      <c r="T32" s="3"/>
      <c r="U32" s="3"/>
      <c r="V32" s="3"/>
      <c r="W32" s="3"/>
      <c r="X32" s="3"/>
      <c r="Y32" s="3"/>
      <c r="Z32" s="3"/>
      <c r="AA32" s="3"/>
    </row>
    <row r="33" spans="1:28" x14ac:dyDescent="0.3">
      <c r="E33" s="8" t="s">
        <v>97</v>
      </c>
      <c r="G33" s="44" t="s">
        <v>95</v>
      </c>
      <c r="H33" s="44"/>
      <c r="I33" s="163">
        <f>'Wholesale Tariff Inputs'!E21</f>
        <v>0</v>
      </c>
      <c r="J33" s="226"/>
      <c r="O33" s="3"/>
      <c r="P33" s="3"/>
      <c r="Q33" s="3"/>
      <c r="R33" s="3"/>
      <c r="S33" s="3"/>
      <c r="T33" s="3"/>
      <c r="U33" s="3"/>
      <c r="V33" s="3"/>
      <c r="W33" s="3"/>
      <c r="X33" s="3"/>
      <c r="Y33" s="3"/>
      <c r="Z33" s="3"/>
      <c r="AA33" s="3"/>
    </row>
    <row r="34" spans="1:28" s="7" customFormat="1" x14ac:dyDescent="0.3">
      <c r="A34" s="8"/>
      <c r="C34" s="32"/>
      <c r="D34" s="26"/>
      <c r="E34" s="8"/>
      <c r="G34" s="44"/>
      <c r="H34" s="44"/>
      <c r="I34" s="3"/>
      <c r="J34" s="108"/>
      <c r="AB34"/>
    </row>
    <row r="35" spans="1:28" x14ac:dyDescent="0.3">
      <c r="B35" s="15" t="s">
        <v>196</v>
      </c>
      <c r="C35" s="15"/>
      <c r="D35" s="15"/>
      <c r="E35" s="15"/>
      <c r="F35" s="15"/>
      <c r="G35" s="15"/>
      <c r="H35" s="15"/>
      <c r="I35" s="15"/>
      <c r="J35" s="91"/>
      <c r="K35" s="15"/>
      <c r="L35" s="15"/>
      <c r="M35" s="15"/>
      <c r="N35" s="15"/>
      <c r="O35" s="15"/>
      <c r="P35" s="15"/>
      <c r="Q35" s="15"/>
      <c r="R35" s="15"/>
      <c r="S35" s="15"/>
      <c r="T35" s="15"/>
      <c r="U35" s="15"/>
      <c r="V35" s="15"/>
      <c r="W35" s="15"/>
      <c r="X35" s="15"/>
      <c r="Y35" s="15"/>
      <c r="Z35" s="15"/>
      <c r="AA35" s="15"/>
    </row>
    <row r="36" spans="1:28" x14ac:dyDescent="0.3">
      <c r="F36" s="3"/>
      <c r="G36" s="44"/>
      <c r="H36" s="44"/>
      <c r="I36" s="3"/>
      <c r="J36" s="3"/>
      <c r="K36" s="3"/>
      <c r="L36" s="3"/>
      <c r="M36" s="3"/>
      <c r="N36" s="3"/>
      <c r="O36" s="3"/>
      <c r="P36" s="3"/>
      <c r="Q36" s="3"/>
      <c r="R36" s="3"/>
      <c r="S36" s="3"/>
      <c r="T36" s="3"/>
      <c r="U36" s="3"/>
      <c r="V36" s="3"/>
      <c r="W36" s="3"/>
      <c r="X36" s="3"/>
      <c r="Y36" s="3"/>
      <c r="Z36" s="3"/>
      <c r="AA36" s="3"/>
    </row>
    <row r="37" spans="1:28" x14ac:dyDescent="0.3">
      <c r="E37" s="48" t="s">
        <v>197</v>
      </c>
      <c r="G37" s="44" t="s">
        <v>198</v>
      </c>
      <c r="H37" s="44"/>
      <c r="I37" s="181">
        <v>4.0298627350000005E-2</v>
      </c>
      <c r="J37" s="55"/>
    </row>
    <row r="38" spans="1:28" x14ac:dyDescent="0.3">
      <c r="G38" s="44"/>
      <c r="H38" s="44"/>
      <c r="J38" s="55"/>
    </row>
    <row r="39" spans="1:28" x14ac:dyDescent="0.3">
      <c r="D39" s="26" t="s">
        <v>199</v>
      </c>
      <c r="G39" s="44"/>
      <c r="H39" s="44"/>
      <c r="J39" s="55"/>
    </row>
    <row r="40" spans="1:28" x14ac:dyDescent="0.3">
      <c r="E40" s="8" t="s">
        <v>200</v>
      </c>
      <c r="G40" s="44" t="s">
        <v>201</v>
      </c>
      <c r="H40" s="44"/>
      <c r="I40" s="177">
        <v>0</v>
      </c>
      <c r="J40" s="55"/>
    </row>
    <row r="41" spans="1:28" x14ac:dyDescent="0.3">
      <c r="E41" s="48" t="s">
        <v>202</v>
      </c>
      <c r="G41" s="44" t="s">
        <v>198</v>
      </c>
      <c r="H41" s="44"/>
      <c r="I41" s="182">
        <f>IF(I17="Yes",7%,0)</f>
        <v>0</v>
      </c>
      <c r="J41" s="55"/>
    </row>
    <row r="42" spans="1:28" x14ac:dyDescent="0.3">
      <c r="E42" s="48" t="s">
        <v>199</v>
      </c>
      <c r="G42" s="44" t="s">
        <v>198</v>
      </c>
      <c r="H42" s="44"/>
      <c r="I42" s="227">
        <f>IF(I40=1,0,I41)</f>
        <v>0</v>
      </c>
      <c r="J42" s="55"/>
    </row>
    <row r="43" spans="1:28" x14ac:dyDescent="0.3">
      <c r="E43" s="8" t="s">
        <v>203</v>
      </c>
      <c r="G43" s="44" t="s">
        <v>204</v>
      </c>
      <c r="H43" s="44"/>
      <c r="I43" s="36">
        <v>1</v>
      </c>
      <c r="J43" s="55"/>
    </row>
    <row r="44" spans="1:28" x14ac:dyDescent="0.3">
      <c r="E44" s="8" t="s">
        <v>205</v>
      </c>
      <c r="G44" s="44" t="s">
        <v>198</v>
      </c>
      <c r="H44" s="44"/>
      <c r="I44" s="182">
        <v>0.08</v>
      </c>
      <c r="J44" s="55"/>
    </row>
    <row r="45" spans="1:28" x14ac:dyDescent="0.3">
      <c r="G45" s="44"/>
      <c r="H45" s="44"/>
      <c r="J45" s="55"/>
    </row>
    <row r="46" spans="1:28" x14ac:dyDescent="0.3">
      <c r="E46" s="8" t="s">
        <v>206</v>
      </c>
      <c r="G46" s="44" t="s">
        <v>198</v>
      </c>
      <c r="H46" s="44"/>
      <c r="I46" s="182">
        <v>0.95</v>
      </c>
      <c r="J46" s="55"/>
    </row>
    <row r="47" spans="1:28" x14ac:dyDescent="0.3">
      <c r="G47" s="44"/>
      <c r="H47" s="44"/>
      <c r="J47" s="55"/>
    </row>
    <row r="48" spans="1:28" x14ac:dyDescent="0.3">
      <c r="E48" s="48" t="s">
        <v>207</v>
      </c>
      <c r="G48" s="44" t="s">
        <v>208</v>
      </c>
      <c r="H48" s="44"/>
      <c r="I48" s="170">
        <v>4</v>
      </c>
      <c r="J48" s="3"/>
      <c r="K48" s="3"/>
      <c r="O48" s="3"/>
      <c r="P48" s="3"/>
      <c r="Q48" s="3"/>
      <c r="R48" s="3"/>
      <c r="S48" s="3"/>
      <c r="T48" s="3"/>
      <c r="U48" s="3"/>
      <c r="V48" s="3"/>
      <c r="W48" s="3"/>
      <c r="X48" s="3"/>
      <c r="Y48" s="3"/>
      <c r="Z48" s="3"/>
      <c r="AA48" s="3"/>
    </row>
    <row r="49" spans="1:28" x14ac:dyDescent="0.3">
      <c r="E49" s="46"/>
      <c r="G49" s="44"/>
      <c r="H49" s="44"/>
      <c r="I49" s="3"/>
      <c r="J49" s="55"/>
      <c r="O49" s="3"/>
      <c r="P49" s="3"/>
      <c r="Q49" s="3"/>
      <c r="R49" s="3"/>
      <c r="S49" s="3"/>
      <c r="T49" s="3"/>
      <c r="U49" s="3"/>
      <c r="V49" s="3"/>
      <c r="W49" s="3"/>
      <c r="X49" s="3"/>
      <c r="Y49" s="3"/>
      <c r="Z49" s="3"/>
      <c r="AA49" s="3"/>
    </row>
    <row r="50" spans="1:28" x14ac:dyDescent="0.3">
      <c r="B50" s="15" t="s">
        <v>209</v>
      </c>
      <c r="C50" s="15"/>
      <c r="D50" s="15"/>
      <c r="E50" s="15"/>
      <c r="F50" s="15"/>
      <c r="G50" s="37"/>
      <c r="H50" s="37"/>
      <c r="I50" s="15"/>
      <c r="J50" s="91"/>
      <c r="K50" s="15"/>
      <c r="L50" s="15"/>
      <c r="M50" s="15"/>
      <c r="N50" s="15"/>
      <c r="O50" s="15"/>
      <c r="P50" s="15"/>
      <c r="Q50" s="15"/>
      <c r="R50" s="15"/>
      <c r="S50" s="15"/>
      <c r="T50" s="15"/>
      <c r="U50" s="15"/>
      <c r="V50" s="15"/>
      <c r="W50" s="15"/>
      <c r="X50" s="15"/>
      <c r="Y50" s="15"/>
      <c r="Z50" s="15"/>
      <c r="AA50" s="15"/>
    </row>
    <row r="51" spans="1:28" x14ac:dyDescent="0.3">
      <c r="G51" s="44"/>
      <c r="H51" s="44"/>
      <c r="J51" s="55"/>
    </row>
    <row r="52" spans="1:28" x14ac:dyDescent="0.3">
      <c r="D52" s="26" t="s">
        <v>210</v>
      </c>
      <c r="G52" s="44"/>
      <c r="H52" s="44"/>
      <c r="J52" s="55"/>
    </row>
    <row r="53" spans="1:28" x14ac:dyDescent="0.3">
      <c r="E53" s="8" t="s">
        <v>211</v>
      </c>
      <c r="G53" s="44" t="s">
        <v>212</v>
      </c>
      <c r="H53" s="44"/>
      <c r="I53" s="177">
        <v>0</v>
      </c>
      <c r="J53" s="55"/>
    </row>
    <row r="54" spans="1:28" s="7" customFormat="1" x14ac:dyDescent="0.3">
      <c r="A54" s="8"/>
      <c r="B54" s="8"/>
      <c r="C54" s="3"/>
      <c r="D54" s="33"/>
      <c r="E54" s="8" t="s">
        <v>213</v>
      </c>
      <c r="F54" s="3"/>
      <c r="G54" s="44" t="s">
        <v>212</v>
      </c>
      <c r="H54" s="42"/>
      <c r="I54" s="178">
        <v>0</v>
      </c>
      <c r="J54" s="3"/>
      <c r="K54" s="3"/>
      <c r="L54" s="3"/>
      <c r="M54" s="3"/>
      <c r="N54" s="3"/>
      <c r="O54" s="3"/>
      <c r="P54" s="3"/>
      <c r="Q54" s="3"/>
      <c r="R54" s="3"/>
      <c r="S54" s="3"/>
      <c r="T54" s="3"/>
      <c r="U54" s="3"/>
      <c r="V54" s="3"/>
      <c r="W54" s="3"/>
      <c r="X54" s="3"/>
      <c r="Y54" s="3"/>
      <c r="Z54" s="3"/>
      <c r="AA54" s="3"/>
      <c r="AB54"/>
    </row>
    <row r="55" spans="1:28" s="7" customFormat="1" x14ac:dyDescent="0.3">
      <c r="A55" s="8"/>
      <c r="B55" s="8"/>
      <c r="C55" s="3"/>
      <c r="D55" s="33"/>
      <c r="E55" s="8" t="s">
        <v>214</v>
      </c>
      <c r="F55" s="3"/>
      <c r="G55" s="44" t="s">
        <v>212</v>
      </c>
      <c r="H55" s="42"/>
      <c r="I55" s="179">
        <v>1</v>
      </c>
      <c r="J55" s="3"/>
      <c r="K55" s="3"/>
      <c r="L55" s="3"/>
      <c r="M55" s="3"/>
      <c r="N55" s="3"/>
      <c r="O55" s="3"/>
      <c r="P55" s="3"/>
      <c r="Q55" s="3"/>
      <c r="R55" s="3"/>
      <c r="S55" s="3"/>
      <c r="T55" s="3"/>
      <c r="U55" s="3"/>
      <c r="V55" s="3"/>
      <c r="W55" s="3"/>
      <c r="X55" s="3"/>
      <c r="Y55" s="3"/>
      <c r="Z55" s="3"/>
      <c r="AA55" s="3"/>
      <c r="AB55"/>
    </row>
    <row r="56" spans="1:28" s="7" customFormat="1" x14ac:dyDescent="0.3">
      <c r="A56" s="8"/>
      <c r="B56" s="8"/>
      <c r="C56" s="3"/>
      <c r="D56" s="33"/>
      <c r="E56" s="8"/>
      <c r="F56" s="3"/>
      <c r="G56" s="44"/>
      <c r="H56" s="42"/>
      <c r="I56" s="180"/>
      <c r="J56" s="3"/>
      <c r="K56" s="3"/>
      <c r="L56" s="3"/>
      <c r="M56" s="3"/>
      <c r="N56" s="3"/>
      <c r="O56" s="3"/>
      <c r="P56" s="3"/>
      <c r="Q56" s="3"/>
      <c r="R56" s="3"/>
      <c r="S56" s="3"/>
      <c r="T56" s="3"/>
      <c r="U56" s="3"/>
      <c r="V56" s="3"/>
      <c r="W56" s="3"/>
      <c r="X56" s="3"/>
      <c r="Y56" s="3"/>
      <c r="Z56" s="3"/>
      <c r="AA56" s="3"/>
      <c r="AB56"/>
    </row>
    <row r="57" spans="1:28" x14ac:dyDescent="0.3">
      <c r="D57" s="26" t="s">
        <v>215</v>
      </c>
      <c r="G57" s="44"/>
      <c r="H57" s="44"/>
      <c r="I57" s="3"/>
      <c r="J57" s="3"/>
      <c r="K57" s="3"/>
    </row>
    <row r="58" spans="1:28" x14ac:dyDescent="0.3">
      <c r="E58" s="8" t="s">
        <v>216</v>
      </c>
      <c r="G58" s="44" t="s">
        <v>217</v>
      </c>
      <c r="H58" s="44"/>
      <c r="I58" s="196">
        <v>100</v>
      </c>
      <c r="J58" s="3"/>
      <c r="K58" s="3"/>
      <c r="O58" s="3"/>
      <c r="P58" s="3"/>
      <c r="Q58" s="3"/>
      <c r="R58" s="3"/>
      <c r="S58" s="3"/>
      <c r="T58" s="3"/>
      <c r="U58" s="3"/>
      <c r="V58" s="3"/>
      <c r="W58" s="3"/>
      <c r="X58" s="3"/>
      <c r="Y58" s="3"/>
      <c r="Z58" s="3"/>
      <c r="AA58" s="3"/>
    </row>
    <row r="59" spans="1:28" x14ac:dyDescent="0.3">
      <c r="E59" s="48" t="s">
        <v>218</v>
      </c>
      <c r="G59" s="44" t="s">
        <v>217</v>
      </c>
      <c r="H59" s="44"/>
      <c r="I59" s="197">
        <v>200</v>
      </c>
      <c r="J59" s="3"/>
      <c r="K59" s="3"/>
      <c r="O59" s="3"/>
      <c r="P59" s="3"/>
      <c r="Q59" s="3"/>
      <c r="R59" s="3"/>
      <c r="S59" s="3"/>
      <c r="T59" s="3"/>
      <c r="U59" s="3"/>
      <c r="V59" s="3"/>
      <c r="W59" s="3"/>
      <c r="X59" s="3"/>
      <c r="Y59" s="3"/>
      <c r="Z59" s="3"/>
      <c r="AA59" s="3"/>
    </row>
    <row r="60" spans="1:28" x14ac:dyDescent="0.3">
      <c r="E60" s="48" t="s">
        <v>219</v>
      </c>
      <c r="G60" s="44" t="s">
        <v>217</v>
      </c>
      <c r="H60" s="44"/>
      <c r="I60" s="197">
        <v>350</v>
      </c>
      <c r="J60" s="3"/>
      <c r="K60" s="3"/>
      <c r="O60" s="3"/>
      <c r="P60" s="3"/>
      <c r="Q60" s="3"/>
      <c r="R60" s="3"/>
      <c r="S60" s="3"/>
      <c r="T60" s="3"/>
      <c r="U60" s="3"/>
      <c r="V60" s="3"/>
      <c r="W60" s="3"/>
      <c r="X60" s="3"/>
      <c r="Y60" s="3"/>
      <c r="Z60" s="3"/>
      <c r="AA60" s="3"/>
    </row>
    <row r="61" spans="1:28" s="83" customFormat="1" x14ac:dyDescent="0.3">
      <c r="C61" s="32"/>
      <c r="D61" s="84"/>
      <c r="E61" s="198"/>
      <c r="G61" s="86"/>
      <c r="H61" s="86"/>
      <c r="I61" s="199"/>
      <c r="J61" s="3"/>
      <c r="K61" s="3"/>
      <c r="M61" s="87"/>
      <c r="O61" s="3"/>
      <c r="P61" s="3"/>
      <c r="Q61" s="3"/>
      <c r="R61" s="3"/>
      <c r="S61" s="3"/>
      <c r="T61" s="3"/>
      <c r="U61" s="3"/>
      <c r="V61" s="3"/>
      <c r="W61" s="3"/>
      <c r="X61" s="3"/>
      <c r="Y61" s="3"/>
      <c r="Z61" s="3"/>
      <c r="AA61" s="3"/>
      <c r="AB61" s="85"/>
    </row>
    <row r="62" spans="1:28" customFormat="1" x14ac:dyDescent="0.3">
      <c r="A62" s="15"/>
      <c r="B62" s="15" t="s">
        <v>76</v>
      </c>
      <c r="C62" s="15"/>
      <c r="D62" s="15"/>
      <c r="E62" s="15"/>
      <c r="F62" s="15"/>
      <c r="G62" s="15"/>
      <c r="H62" s="15"/>
      <c r="I62" s="37"/>
      <c r="J62" s="144"/>
      <c r="K62" s="144"/>
      <c r="L62" s="144"/>
      <c r="M62" s="144"/>
      <c r="N62" s="211"/>
      <c r="O62" s="211"/>
      <c r="P62" s="211"/>
      <c r="Q62" s="211"/>
      <c r="R62" s="211"/>
      <c r="S62" s="211"/>
      <c r="T62" s="211"/>
      <c r="U62" s="211"/>
      <c r="V62" s="211"/>
      <c r="W62" s="211"/>
      <c r="X62" s="211"/>
      <c r="Y62" s="211"/>
    </row>
    <row r="63" spans="1:28" customFormat="1" hidden="1" x14ac:dyDescent="0.3"/>
    <row r="64" spans="1:28" hidden="1" x14ac:dyDescent="0.3">
      <c r="E64" s="8">
        <v>0</v>
      </c>
    </row>
    <row r="65" spans="5:5" hidden="1" x14ac:dyDescent="0.3">
      <c r="E65" s="8">
        <v>1</v>
      </c>
    </row>
  </sheetData>
  <sheetProtection algorithmName="SHA-512" hashValue="zC4+lidvi8iINqEZGHSrJpSFBVmHkEvPZjqRQrLhoHSypZv3Q9Gj9n+4NyCMW6O020RFL14yu3LIFJES5+Y3CQ==" saltValue="ILYAS6p5zF4N+an0Pzi/Ug==" spinCount="100000" sheet="1" objects="1" scenarios="1" selectLockedCells="1" selectUnlockedCells="1"/>
  <mergeCells count="1">
    <mergeCell ref="E6:I6"/>
  </mergeCells>
  <conditionalFormatting sqref="A1:A3">
    <cfRule type="containsText" dxfId="3" priority="1" operator="containsText" text="FALSE">
      <formula>NOT(ISERROR(SEARCH("FALSE",A1)))</formula>
    </cfRule>
    <cfRule type="containsText" dxfId="2" priority="2" operator="containsText" text="TRUE">
      <formula>NOT(ISERROR(SEARCH("TRUE",A1)))</formula>
    </cfRule>
  </conditionalFormatting>
  <dataValidations count="1">
    <dataValidation type="list" allowBlank="1" showInputMessage="1" showErrorMessage="1" sqref="I53:I55 I40" xr:uid="{DE85B1B8-0D89-4DA3-9F4D-C1E2DF25129E}">
      <formula1>$E$64:$E$65</formula1>
    </dataValidation>
  </dataValidations>
  <hyperlinks>
    <hyperlink ref="A3" location="Intro!A1" display="Return to Intro tab" xr:uid="{60E71A7F-BCD1-473B-96E4-F7A43322CDED}"/>
  </hyperlinks>
  <pageMargins left="0.7" right="0.7" top="0.75" bottom="0.75" header="0.3" footer="0.3"/>
  <pageSetup paperSize="9" orientation="portrait" r:id="rId1"/>
  <ignoredErrors>
    <ignoredError sqref="I41:I42"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D713-1DF5-4B3B-991A-0DBFFCECD31A}">
  <sheetPr codeName="Sheet20">
    <tabColor theme="6"/>
  </sheetPr>
  <dimension ref="B2"/>
  <sheetViews>
    <sheetView workbookViewId="0"/>
  </sheetViews>
  <sheetFormatPr defaultColWidth="8" defaultRowHeight="13" x14ac:dyDescent="0.3"/>
  <cols>
    <col min="1" max="1" width="2.54296875" style="19" customWidth="1"/>
    <col min="2" max="16384" width="8" style="19"/>
  </cols>
  <sheetData>
    <row r="2" spans="2:2" ht="29" x14ac:dyDescent="0.3">
      <c r="B2" s="18" t="s">
        <v>220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ED886-0786-41F0-95E3-2982A086FDDF}">
  <sheetPr>
    <tabColor rgb="FFF3CF45"/>
  </sheetPr>
  <dimension ref="A1:AK74"/>
  <sheetViews>
    <sheetView showGridLines="0" topLeftCell="A60" zoomScale="110" zoomScaleNormal="110" workbookViewId="0">
      <selection activeCell="K17" sqref="K17"/>
    </sheetView>
  </sheetViews>
  <sheetFormatPr defaultColWidth="0" defaultRowHeight="13" zeroHeight="1" x14ac:dyDescent="0.3"/>
  <cols>
    <col min="1" max="4" width="2.453125" style="8" customWidth="1"/>
    <col min="5" max="5" width="14.54296875" style="8" customWidth="1"/>
    <col min="6" max="6" width="8.453125" style="8" customWidth="1"/>
    <col min="7" max="10" width="14.54296875" style="8" customWidth="1"/>
    <col min="11" max="11" width="14.54296875" style="4" customWidth="1"/>
    <col min="12" max="13" width="14.54296875" style="8" customWidth="1"/>
    <col min="14" max="14" width="8.54296875" style="8" customWidth="1"/>
    <col min="15" max="18" width="14.54296875" style="8" customWidth="1"/>
    <col min="19" max="21" width="11.453125" style="8" customWidth="1"/>
    <col min="22" max="22" width="12" style="8" customWidth="1"/>
    <col min="23" max="25" width="12.453125" style="8" customWidth="1"/>
    <col min="26" max="26" width="4.453125" customWidth="1"/>
    <col min="27" max="37" width="0" style="8" hidden="1" customWidth="1"/>
    <col min="38" max="16384" width="8.54296875" style="8" hidden="1"/>
  </cols>
  <sheetData>
    <row r="1" spans="1:37" s="13" customFormat="1" ht="17.5" x14ac:dyDescent="0.3">
      <c r="A1" s="11" t="str" cm="1">
        <f t="array" aca="1" ref="A1" ca="1">RIGHT(CELL("filename",A$2),LEN(CELL("filename",A$2))-FIND("]",CELL("filename",A$2)))</f>
        <v>Charging arrangements table</v>
      </c>
      <c r="B1" s="11"/>
      <c r="C1" s="11"/>
      <c r="D1" s="11"/>
      <c r="E1" s="11"/>
      <c r="F1" s="11"/>
      <c r="G1" s="37"/>
      <c r="H1" s="37"/>
      <c r="I1" s="11"/>
      <c r="J1" s="11"/>
      <c r="K1" s="11"/>
      <c r="L1" s="11"/>
      <c r="M1" s="11"/>
      <c r="N1" s="11"/>
      <c r="O1" s="11"/>
      <c r="P1" s="11"/>
      <c r="Q1" s="11"/>
      <c r="R1" s="11"/>
      <c r="S1" s="11"/>
      <c r="T1" s="11"/>
      <c r="U1" s="11"/>
      <c r="V1" s="11"/>
    </row>
    <row r="2" spans="1:37" s="1" customFormat="1" x14ac:dyDescent="0.3">
      <c r="A2" s="14"/>
      <c r="B2" s="14"/>
      <c r="C2" s="14"/>
      <c r="D2" s="14"/>
      <c r="E2" s="14"/>
      <c r="F2" s="14"/>
      <c r="G2" s="38"/>
      <c r="H2" s="38"/>
      <c r="I2" s="14"/>
      <c r="J2" s="14"/>
      <c r="K2" s="14"/>
      <c r="L2" s="14"/>
      <c r="M2" s="14"/>
      <c r="N2" s="14"/>
      <c r="O2" s="14"/>
      <c r="P2" s="14"/>
      <c r="Q2" s="14"/>
      <c r="R2" s="14"/>
      <c r="S2" s="14"/>
      <c r="T2" s="14"/>
      <c r="U2" s="14"/>
      <c r="V2" s="14"/>
      <c r="W2" s="14"/>
      <c r="X2" s="14"/>
      <c r="Y2" s="14"/>
    </row>
    <row r="3" spans="1:37" customFormat="1" x14ac:dyDescent="0.3">
      <c r="A3" s="31" t="s">
        <v>176</v>
      </c>
      <c r="C3" s="3"/>
      <c r="D3" s="33"/>
      <c r="G3" s="39"/>
      <c r="H3" s="39"/>
    </row>
    <row r="4" spans="1:37" ht="13.5" customHeight="1" x14ac:dyDescent="0.3">
      <c r="C4" s="32"/>
      <c r="D4" s="32"/>
      <c r="E4" s="32"/>
      <c r="F4" s="32"/>
      <c r="G4" s="40"/>
      <c r="H4" s="40"/>
      <c r="I4" s="32"/>
      <c r="J4" s="32"/>
    </row>
    <row r="5" spans="1:37" customFormat="1" x14ac:dyDescent="0.3">
      <c r="B5" s="15" t="s">
        <v>44</v>
      </c>
      <c r="C5" s="15"/>
      <c r="D5" s="15"/>
      <c r="E5" s="15"/>
      <c r="F5" s="15"/>
      <c r="G5" s="37"/>
      <c r="H5" s="37"/>
      <c r="I5" s="15"/>
      <c r="J5" s="15"/>
      <c r="K5" s="15"/>
      <c r="L5" s="15"/>
      <c r="M5" s="15"/>
      <c r="N5" s="15"/>
      <c r="O5" s="15"/>
      <c r="P5" s="15"/>
      <c r="Q5" s="15"/>
      <c r="R5" s="15"/>
      <c r="S5" s="15"/>
      <c r="T5" s="15"/>
      <c r="U5" s="15"/>
      <c r="V5" s="15"/>
      <c r="W5" s="15"/>
      <c r="X5" s="15"/>
      <c r="Y5" s="15"/>
    </row>
    <row r="6" spans="1:37" x14ac:dyDescent="0.3">
      <c r="C6" s="32"/>
      <c r="D6" s="26"/>
      <c r="E6" s="404" t="s">
        <v>58</v>
      </c>
      <c r="F6" s="404"/>
      <c r="G6" s="404"/>
      <c r="H6" s="41"/>
    </row>
    <row r="7" spans="1:37" x14ac:dyDescent="0.3">
      <c r="C7" s="3"/>
      <c r="D7" s="26"/>
      <c r="G7" s="41"/>
      <c r="H7" s="41"/>
    </row>
    <row r="8" spans="1:37" x14ac:dyDescent="0.3">
      <c r="B8" s="15" t="s">
        <v>73</v>
      </c>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row>
    <row r="9" spans="1:37" x14ac:dyDescent="0.3">
      <c r="C9" s="32"/>
      <c r="D9" s="26"/>
      <c r="F9" s="3"/>
      <c r="G9" s="44"/>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row>
    <row r="10" spans="1:37" customFormat="1" x14ac:dyDescent="0.3">
      <c r="A10" s="8"/>
      <c r="C10" s="3"/>
      <c r="D10" s="33"/>
      <c r="E10" t="s">
        <v>179</v>
      </c>
      <c r="G10" s="39"/>
      <c r="H10" s="58" t="str">
        <f>Cockpit!$I$10</f>
        <v>2025-2026</v>
      </c>
    </row>
    <row r="11" spans="1:37" x14ac:dyDescent="0.3">
      <c r="C11" s="32"/>
      <c r="D11" s="26"/>
      <c r="G11" s="41"/>
      <c r="K11" s="8"/>
      <c r="L11" s="4"/>
      <c r="Z11" s="8"/>
      <c r="AD11" s="4"/>
    </row>
    <row r="12" spans="1:37" customFormat="1" x14ac:dyDescent="0.3">
      <c r="A12" s="8"/>
      <c r="B12" s="15" t="s">
        <v>69</v>
      </c>
      <c r="C12" s="15"/>
      <c r="D12" s="15"/>
      <c r="E12" s="15"/>
      <c r="F12" s="15"/>
      <c r="G12" s="37"/>
      <c r="H12" s="37"/>
      <c r="I12" s="15"/>
      <c r="J12" s="15"/>
      <c r="K12" s="15"/>
      <c r="L12" s="15"/>
      <c r="M12" s="15"/>
      <c r="N12" s="15"/>
      <c r="O12" s="15"/>
      <c r="P12" s="15"/>
      <c r="Q12" s="15"/>
      <c r="R12" s="15"/>
      <c r="S12" s="15"/>
      <c r="T12" s="15"/>
      <c r="U12" s="15"/>
      <c r="V12" s="15"/>
      <c r="W12" s="15"/>
      <c r="X12" s="15"/>
      <c r="Y12" s="15"/>
    </row>
    <row r="13" spans="1:37" x14ac:dyDescent="0.3">
      <c r="C13" s="32"/>
      <c r="D13" s="26"/>
      <c r="G13" s="41"/>
      <c r="H13" s="41"/>
      <c r="K13" s="8"/>
    </row>
    <row r="14" spans="1:37" s="7" customFormat="1" ht="13.5" thickBot="1" x14ac:dyDescent="0.35">
      <c r="A14" s="26"/>
      <c r="B14" s="26"/>
      <c r="C14" s="26"/>
      <c r="D14" s="26"/>
      <c r="E14" s="26"/>
      <c r="F14" s="26"/>
      <c r="G14" s="26"/>
      <c r="H14" s="26"/>
      <c r="I14" s="26"/>
      <c r="J14" s="26"/>
      <c r="K14" s="26"/>
      <c r="L14" s="26"/>
      <c r="M14" s="26"/>
      <c r="N14" s="26"/>
      <c r="O14" s="26"/>
      <c r="P14" s="26"/>
      <c r="Q14" s="26"/>
      <c r="R14" s="26"/>
      <c r="S14" s="26"/>
      <c r="T14" s="26"/>
      <c r="U14" s="26"/>
      <c r="V14" s="26"/>
      <c r="W14" s="26"/>
      <c r="X14" s="26"/>
      <c r="Y14" s="8"/>
      <c r="Z14"/>
    </row>
    <row r="15" spans="1:37" ht="28.5" customHeight="1" thickBot="1" x14ac:dyDescent="0.35">
      <c r="A15" s="26"/>
      <c r="B15" s="26"/>
      <c r="C15" s="26"/>
      <c r="D15" s="26"/>
      <c r="E15" s="60" t="s">
        <v>221</v>
      </c>
      <c r="F15" s="61" t="s">
        <v>222</v>
      </c>
      <c r="G15" s="253" t="s">
        <v>223</v>
      </c>
      <c r="H15" s="258" t="s">
        <v>224</v>
      </c>
      <c r="I15" s="258" t="s">
        <v>225</v>
      </c>
      <c r="J15" s="26"/>
      <c r="K15" s="26"/>
      <c r="L15" s="26"/>
      <c r="M15" s="26"/>
      <c r="N15" s="26"/>
      <c r="O15" s="26"/>
      <c r="P15" s="26"/>
      <c r="Q15" s="26"/>
      <c r="R15" s="26"/>
      <c r="S15" s="26"/>
      <c r="T15" s="26"/>
      <c r="U15" s="26"/>
      <c r="V15" s="26"/>
      <c r="W15" s="26"/>
      <c r="X15" s="26"/>
    </row>
    <row r="16" spans="1:37" ht="23" thickBot="1" x14ac:dyDescent="0.35">
      <c r="A16" s="26"/>
      <c r="B16" s="26"/>
      <c r="C16" s="26"/>
      <c r="D16" s="26"/>
      <c r="E16" s="62" t="s">
        <v>226</v>
      </c>
      <c r="F16" s="63"/>
      <c r="G16" s="254"/>
      <c r="H16" s="259"/>
      <c r="I16" s="259"/>
      <c r="J16" s="26"/>
      <c r="K16" s="26"/>
      <c r="L16" s="26"/>
      <c r="M16" s="26"/>
      <c r="N16" s="26"/>
      <c r="O16" s="26"/>
      <c r="P16" s="26"/>
      <c r="Q16" s="26"/>
      <c r="R16" s="26"/>
      <c r="S16" s="26"/>
      <c r="T16" s="26"/>
      <c r="U16" s="26"/>
      <c r="V16" s="26"/>
      <c r="W16" s="26"/>
      <c r="X16" s="26"/>
    </row>
    <row r="17" spans="1:24" ht="14.15" customHeight="1" thickBot="1" x14ac:dyDescent="0.35">
      <c r="A17" s="26"/>
      <c r="B17" s="26"/>
      <c r="C17" s="26"/>
      <c r="D17" s="26"/>
      <c r="E17" s="64" t="s">
        <v>227</v>
      </c>
      <c r="F17" s="65"/>
      <c r="G17" s="255"/>
      <c r="H17" s="260"/>
      <c r="I17" s="260"/>
      <c r="J17" s="26"/>
      <c r="K17" s="26"/>
      <c r="L17" s="26"/>
      <c r="M17" s="26"/>
      <c r="N17" s="26"/>
      <c r="O17" s="26"/>
      <c r="P17" s="26"/>
      <c r="Q17" s="26"/>
      <c r="R17" s="26"/>
      <c r="S17" s="26"/>
      <c r="T17" s="26"/>
      <c r="U17" s="26"/>
      <c r="V17" s="26"/>
      <c r="W17" s="26"/>
      <c r="X17" s="26"/>
    </row>
    <row r="18" spans="1:24" ht="13.5" thickBot="1" x14ac:dyDescent="0.35">
      <c r="A18" s="26"/>
      <c r="B18" s="26"/>
      <c r="C18" s="26"/>
      <c r="D18" s="26"/>
      <c r="E18" s="66" t="s">
        <v>228</v>
      </c>
      <c r="F18" s="67" t="s">
        <v>102</v>
      </c>
      <c r="G18" s="256">
        <f>INDEX('Wholesale tariffs'!$M$33:$Y$33,MATCH('Charging arrangements table'!$H$10,'Wholesale tariffs'!$M$5:$Y$5,0))</f>
        <v>211.95</v>
      </c>
      <c r="H18" s="261">
        <f>INDEX('Wholesale tariffs'!$M$37:$Y$37,MATCH('Charging arrangements table'!$H$10,'Wholesale tariffs'!$M$5:$Y$5,0))</f>
        <v>270.85000000000002</v>
      </c>
      <c r="I18" s="261"/>
      <c r="J18" s="26"/>
      <c r="K18" s="26"/>
      <c r="L18" s="26"/>
      <c r="M18" s="26"/>
      <c r="N18" s="26"/>
      <c r="O18" s="26"/>
      <c r="P18" s="26"/>
      <c r="Q18" s="26"/>
      <c r="R18" s="26"/>
      <c r="S18" s="26"/>
      <c r="T18" s="26"/>
      <c r="U18" s="26"/>
      <c r="V18" s="26"/>
      <c r="W18" s="26"/>
      <c r="X18" s="26"/>
    </row>
    <row r="19" spans="1:24" ht="14.15" customHeight="1" thickBot="1" x14ac:dyDescent="0.35">
      <c r="A19" s="26"/>
      <c r="B19" s="26"/>
      <c r="C19" s="26"/>
      <c r="D19" s="26"/>
      <c r="E19" s="68" t="s">
        <v>229</v>
      </c>
      <c r="F19" s="69" t="s">
        <v>230</v>
      </c>
      <c r="G19" s="257">
        <f>INDEX('Wholesale tariffs'!$M$32:$Y$32,MATCH('Charging arrangements table'!$H$10,'Wholesale tariffs'!$M$5:$Y$5,0))</f>
        <v>15.1</v>
      </c>
      <c r="H19" s="262">
        <f>INDEX('Wholesale tariffs'!$M$36:$Y$36,MATCH('Charging arrangements table'!$H$10,'Wholesale tariffs'!$M$5:$Y$5,0))</f>
        <v>0</v>
      </c>
      <c r="I19" s="262">
        <f>INDEX('Wholesale tariffs'!$M$38:$Y$38,MATCH('Charging arrangements table'!$H$10,'Wholesale tariffs'!$M$5:$Y$5,0))</f>
        <v>70.205160973633724</v>
      </c>
      <c r="J19" s="26"/>
      <c r="K19" s="26"/>
      <c r="L19" s="26"/>
      <c r="M19" s="26"/>
      <c r="N19" s="26"/>
      <c r="O19" s="26"/>
      <c r="P19" s="26"/>
      <c r="Q19" s="26"/>
      <c r="R19" s="26"/>
      <c r="S19" s="26"/>
      <c r="T19" s="26"/>
      <c r="U19" s="26"/>
      <c r="V19" s="26"/>
      <c r="W19" s="26"/>
      <c r="X19" s="26"/>
    </row>
    <row r="20" spans="1:24" ht="14.15" customHeight="1" thickBot="1" x14ac:dyDescent="0.35">
      <c r="A20" s="26"/>
      <c r="B20" s="26"/>
      <c r="C20" s="26"/>
      <c r="D20" s="26"/>
      <c r="E20" s="64" t="s">
        <v>231</v>
      </c>
      <c r="F20" s="65"/>
      <c r="G20" s="255"/>
      <c r="H20" s="260"/>
      <c r="I20" s="260"/>
      <c r="J20" s="26"/>
      <c r="K20" s="26"/>
      <c r="L20" s="26"/>
      <c r="M20" s="26"/>
      <c r="N20" s="26"/>
      <c r="O20" s="26"/>
      <c r="P20" s="26"/>
      <c r="Q20" s="26"/>
      <c r="R20" s="26"/>
      <c r="S20" s="26"/>
      <c r="T20" s="26"/>
      <c r="U20" s="26"/>
      <c r="V20" s="26"/>
      <c r="W20" s="26"/>
      <c r="X20" s="26"/>
    </row>
    <row r="21" spans="1:24" ht="21.5" thickBot="1" x14ac:dyDescent="0.35">
      <c r="A21" s="26"/>
      <c r="B21" s="26"/>
      <c r="C21" s="26"/>
      <c r="D21" s="26"/>
      <c r="E21" s="68" t="s">
        <v>232</v>
      </c>
      <c r="F21" s="69" t="s">
        <v>102</v>
      </c>
      <c r="G21" s="257">
        <f>INDEX('Wholesale tariffs'!$M$18:$Y$18,MATCH('Charging arrangements table'!$H$10,'Wholesale tariffs'!$M$5:$Y$5,0))</f>
        <v>208.27</v>
      </c>
      <c r="H21" s="262">
        <f>INDEX('Wholesale tariffs'!$M$25:$Y$25,MATCH('Charging arrangements table'!$H$10,'Wholesale tariffs'!$M$5:$Y$5,0))</f>
        <v>259.92</v>
      </c>
      <c r="I21" s="262">
        <f>INDEX('Wholesale tariffs'!$M$28:$Y$28,MATCH('Charging arrangements table'!$H$10,'Wholesale tariffs'!$M$5:$Y$5,0))</f>
        <v>78.069999999999993</v>
      </c>
      <c r="J21" s="26"/>
      <c r="K21" s="26"/>
      <c r="L21" s="26"/>
      <c r="M21" s="26"/>
      <c r="N21" s="26"/>
      <c r="O21" s="26"/>
      <c r="P21" s="26"/>
      <c r="Q21" s="26"/>
      <c r="R21" s="26"/>
      <c r="S21" s="26"/>
      <c r="T21" s="26"/>
      <c r="U21" s="26"/>
      <c r="V21" s="26"/>
      <c r="W21" s="26"/>
      <c r="X21" s="26"/>
    </row>
    <row r="22" spans="1:24" ht="21.5" thickBot="1" x14ac:dyDescent="0.35">
      <c r="A22" s="26"/>
      <c r="B22" s="26"/>
      <c r="C22" s="26"/>
      <c r="D22" s="26"/>
      <c r="E22" s="66" t="s">
        <v>233</v>
      </c>
      <c r="F22" s="67" t="s">
        <v>102</v>
      </c>
      <c r="G22" s="256">
        <f>INDEX('Wholesale tariffs'!$M$19:$Y$19,MATCH('Charging arrangements table'!$H$10,'Wholesale tariffs'!$M$5:$Y$5,0))</f>
        <v>133</v>
      </c>
      <c r="H22" s="261">
        <f>INDEX('Wholesale tariffs'!$M$26:$Y$26,MATCH('Charging arrangements table'!$H$10,'Wholesale tariffs'!$M$5:$Y$5,0))</f>
        <v>210.09</v>
      </c>
      <c r="I22" s="261"/>
      <c r="J22" s="26"/>
      <c r="K22" s="26"/>
      <c r="L22" s="26"/>
      <c r="M22" s="26"/>
      <c r="N22" s="26"/>
      <c r="O22" s="26"/>
      <c r="P22" s="26"/>
      <c r="Q22" s="26"/>
      <c r="R22" s="26"/>
      <c r="S22" s="26"/>
      <c r="T22" s="26"/>
      <c r="U22" s="26"/>
      <c r="V22" s="26"/>
      <c r="W22" s="26"/>
      <c r="X22" s="26"/>
    </row>
    <row r="23" spans="1:24" ht="21.5" thickBot="1" x14ac:dyDescent="0.35">
      <c r="A23" s="26"/>
      <c r="B23" s="26"/>
      <c r="C23" s="26"/>
      <c r="D23" s="26"/>
      <c r="E23" s="68" t="s">
        <v>234</v>
      </c>
      <c r="F23" s="69" t="s">
        <v>102</v>
      </c>
      <c r="G23" s="257">
        <f>INDEX('Wholesale tariffs'!$M$20:$Y$20,MATCH('Charging arrangements table'!$H$10,'Wholesale tariffs'!$M$5:$Y$5,0))</f>
        <v>112.25</v>
      </c>
      <c r="H23" s="262">
        <f>INDEX('Wholesale tariffs'!$M$27:$Y$27,MATCH('Charging arrangements table'!$H$10,'Wholesale tariffs'!$M$5:$Y$5,0))</f>
        <v>191.76</v>
      </c>
      <c r="I23" s="262"/>
      <c r="J23" s="26"/>
      <c r="K23" s="26"/>
      <c r="L23" s="26"/>
      <c r="M23" s="26"/>
      <c r="N23" s="26"/>
      <c r="O23" s="26"/>
      <c r="P23" s="26"/>
      <c r="Q23" s="26"/>
      <c r="R23" s="26"/>
      <c r="S23" s="26"/>
      <c r="T23" s="26"/>
      <c r="U23" s="26"/>
      <c r="V23" s="26"/>
      <c r="W23" s="26"/>
      <c r="X23" s="26"/>
    </row>
    <row r="24" spans="1:24" ht="14.15" customHeight="1" thickBot="1" x14ac:dyDescent="0.35">
      <c r="A24" s="26"/>
      <c r="B24" s="26"/>
      <c r="C24" s="26"/>
      <c r="D24" s="26"/>
      <c r="E24" s="68" t="s">
        <v>229</v>
      </c>
      <c r="F24" s="69" t="s">
        <v>230</v>
      </c>
      <c r="G24" s="257" t="s">
        <v>235</v>
      </c>
      <c r="H24" s="262" t="s">
        <v>235</v>
      </c>
      <c r="I24" s="262"/>
      <c r="J24" s="26"/>
      <c r="K24" s="26"/>
      <c r="L24" s="26"/>
      <c r="M24" s="26"/>
      <c r="N24" s="26"/>
      <c r="O24" s="26"/>
      <c r="P24" s="26"/>
      <c r="Q24" s="26"/>
      <c r="R24" s="26"/>
      <c r="S24" s="26"/>
      <c r="T24" s="26"/>
      <c r="U24" s="26"/>
      <c r="V24" s="26"/>
      <c r="W24" s="26"/>
      <c r="X24" s="26"/>
    </row>
    <row r="25" spans="1:24" ht="23" thickBot="1" x14ac:dyDescent="0.35">
      <c r="A25" s="26"/>
      <c r="B25" s="26"/>
      <c r="C25" s="26"/>
      <c r="D25" s="26"/>
      <c r="E25" s="263" t="s">
        <v>236</v>
      </c>
      <c r="F25" s="264"/>
      <c r="G25" s="265"/>
      <c r="H25" s="266"/>
      <c r="I25" s="266"/>
      <c r="J25" s="26"/>
      <c r="K25" s="26"/>
      <c r="L25" s="26"/>
      <c r="M25" s="26"/>
      <c r="N25" s="26"/>
      <c r="O25" s="26"/>
      <c r="P25" s="26"/>
      <c r="Q25" s="26"/>
      <c r="R25" s="26"/>
      <c r="S25" s="26"/>
      <c r="T25" s="26"/>
      <c r="U25" s="26"/>
      <c r="V25" s="26"/>
      <c r="W25" s="26"/>
      <c r="X25" s="26"/>
    </row>
    <row r="26" spans="1:24" ht="14.15" customHeight="1" thickBot="1" x14ac:dyDescent="0.35">
      <c r="A26" s="26"/>
      <c r="B26" s="26"/>
      <c r="C26" s="26"/>
      <c r="D26" s="26"/>
      <c r="E26" s="267" t="s">
        <v>227</v>
      </c>
      <c r="F26" s="278"/>
      <c r="G26" s="279"/>
      <c r="H26" s="280"/>
      <c r="I26" s="280"/>
      <c r="J26" s="26"/>
      <c r="K26" s="26"/>
      <c r="L26" s="26"/>
      <c r="M26" s="26"/>
      <c r="N26" s="26"/>
      <c r="O26" s="26"/>
      <c r="P26" s="26"/>
      <c r="Q26" s="26"/>
      <c r="R26" s="26"/>
      <c r="S26" s="26"/>
      <c r="T26" s="26"/>
      <c r="U26" s="26"/>
      <c r="V26" s="26"/>
      <c r="W26" s="26"/>
      <c r="X26" s="26"/>
    </row>
    <row r="27" spans="1:24" ht="14.15" customHeight="1" thickBot="1" x14ac:dyDescent="0.35">
      <c r="A27" s="26"/>
      <c r="B27" s="26"/>
      <c r="C27" s="26"/>
      <c r="D27" s="26"/>
      <c r="E27" s="66" t="s">
        <v>228</v>
      </c>
      <c r="F27" s="67" t="s">
        <v>102</v>
      </c>
      <c r="G27" s="256">
        <f>INDEX('Wholesale tariffs'!$M$61:$Y$61,MATCH('Charging arrangements table'!$H$10,'Wholesale tariffs'!$M$5:$Y$5,0))</f>
        <v>120.06</v>
      </c>
      <c r="H27" s="261">
        <f>INDEX('Wholesale tariffs'!$M$65:$Y$65,MATCH('Charging arrangements table'!$H$10,'Wholesale tariffs'!$M$5:$Y$5,0))</f>
        <v>270.85000000000002</v>
      </c>
      <c r="I27" s="261"/>
      <c r="J27" s="26"/>
      <c r="K27" s="26"/>
      <c r="L27" s="26"/>
      <c r="M27" s="26"/>
      <c r="N27" s="26"/>
      <c r="O27" s="26"/>
      <c r="P27" s="26"/>
      <c r="Q27" s="26"/>
      <c r="R27" s="26"/>
      <c r="S27" s="26"/>
      <c r="T27" s="26"/>
      <c r="U27" s="26"/>
      <c r="V27" s="26"/>
      <c r="W27" s="26"/>
      <c r="X27" s="26"/>
    </row>
    <row r="28" spans="1:24" ht="14.15" customHeight="1" thickBot="1" x14ac:dyDescent="0.35">
      <c r="A28" s="26"/>
      <c r="B28" s="26"/>
      <c r="C28" s="26"/>
      <c r="D28" s="26"/>
      <c r="E28" s="68" t="s">
        <v>229</v>
      </c>
      <c r="F28" s="69" t="s">
        <v>230</v>
      </c>
      <c r="G28" s="257">
        <f>INDEX('Wholesale tariffs'!$M$60:$Y$60,MATCH('Charging arrangements table'!$H$10,'Wholesale tariffs'!$M$5:$Y$5,0))</f>
        <v>15.1</v>
      </c>
      <c r="H28" s="262">
        <f>INDEX('Wholesale tariffs'!$M$64:$Y$64,MATCH('Charging arrangements table'!$H$10,'Wholesale tariffs'!$M$5:$Y$5,0))</f>
        <v>0</v>
      </c>
      <c r="I28" s="262">
        <f>INDEX('Wholesale tariffs'!$M$66:$Y$66,MATCH('Charging arrangements table'!$H$10,'Wholesale tariffs'!$M$5:$Y$5,0))</f>
        <v>70.209999999999994</v>
      </c>
      <c r="J28" s="26"/>
      <c r="K28" s="26"/>
      <c r="L28" s="26"/>
      <c r="M28" s="26"/>
      <c r="N28" s="26"/>
      <c r="O28" s="26"/>
      <c r="P28" s="26"/>
      <c r="Q28" s="26"/>
      <c r="R28" s="26"/>
      <c r="S28" s="26"/>
      <c r="T28" s="26"/>
      <c r="U28" s="26"/>
      <c r="V28" s="26"/>
      <c r="W28" s="26"/>
      <c r="X28" s="26"/>
    </row>
    <row r="29" spans="1:24" ht="14.15" customHeight="1" thickBot="1" x14ac:dyDescent="0.35">
      <c r="A29" s="26"/>
      <c r="B29" s="26"/>
      <c r="C29" s="26"/>
      <c r="D29" s="26"/>
      <c r="E29" s="267" t="s">
        <v>231</v>
      </c>
      <c r="F29" s="278"/>
      <c r="G29" s="279"/>
      <c r="H29" s="280"/>
      <c r="I29" s="280"/>
      <c r="J29" s="26"/>
      <c r="K29" s="26"/>
      <c r="L29" s="26"/>
      <c r="M29" s="26"/>
      <c r="N29" s="26"/>
      <c r="O29" s="26"/>
      <c r="P29" s="26"/>
      <c r="Q29" s="26"/>
      <c r="R29" s="26"/>
      <c r="S29" s="26"/>
      <c r="T29" s="26"/>
      <c r="U29" s="26"/>
      <c r="V29" s="26"/>
      <c r="W29" s="26"/>
      <c r="X29" s="26"/>
    </row>
    <row r="30" spans="1:24" ht="21.5" thickBot="1" x14ac:dyDescent="0.35">
      <c r="A30" s="26"/>
      <c r="B30" s="26"/>
      <c r="C30" s="26"/>
      <c r="D30" s="26"/>
      <c r="E30" s="68" t="s">
        <v>232</v>
      </c>
      <c r="F30" s="69" t="s">
        <v>102</v>
      </c>
      <c r="G30" s="257">
        <f>INDEX('Wholesale tariffs'!$M$46:$Y$46,MATCH('Charging arrangements table'!$H$10,'Wholesale tariffs'!$M$5:$Y$5,0))</f>
        <v>115.55</v>
      </c>
      <c r="H30" s="262">
        <f>INDEX('Wholesale tariffs'!$M$53:$Y$53,MATCH('Charging arrangements table'!$H$10,'Wholesale tariffs'!$M$5:$Y$5,0))</f>
        <v>259.92</v>
      </c>
      <c r="I30" s="262">
        <f>INDEX('Wholesale tariffs'!$M$56:$Y$56,MATCH('Charging arrangements table'!$H$10,'Wholesale tariffs'!$M$5:$Y$5,0))</f>
        <v>78.065299165470307</v>
      </c>
      <c r="J30" s="26"/>
      <c r="K30" s="26"/>
      <c r="L30" s="26"/>
      <c r="M30" s="26"/>
      <c r="N30" s="26"/>
      <c r="O30" s="26"/>
      <c r="P30" s="26"/>
      <c r="Q30" s="26"/>
      <c r="R30" s="26"/>
      <c r="S30" s="26"/>
      <c r="T30" s="26"/>
      <c r="U30" s="26"/>
      <c r="V30" s="26"/>
      <c r="W30" s="26"/>
      <c r="X30" s="26"/>
    </row>
    <row r="31" spans="1:24" ht="21.5" thickBot="1" x14ac:dyDescent="0.35">
      <c r="A31" s="26"/>
      <c r="B31" s="26"/>
      <c r="C31" s="26"/>
      <c r="D31" s="26"/>
      <c r="E31" s="66" t="s">
        <v>233</v>
      </c>
      <c r="F31" s="67" t="s">
        <v>102</v>
      </c>
      <c r="G31" s="256">
        <f>INDEX('Wholesale tariffs'!$M$47:$Y$47,MATCH('Charging arrangements table'!$H$10,'Wholesale tariffs'!$M$5:$Y$5,0))</f>
        <v>101.53</v>
      </c>
      <c r="H31" s="261">
        <f>INDEX('Wholesale tariffs'!$M$54:$Y$54,MATCH('Charging arrangements table'!$H$10,'Wholesale tariffs'!$M$5:$Y$5,0))</f>
        <v>210.09</v>
      </c>
      <c r="I31" s="261"/>
      <c r="J31" s="26"/>
      <c r="K31" s="26"/>
      <c r="L31" s="26"/>
      <c r="M31" s="26"/>
      <c r="N31" s="26"/>
      <c r="O31" s="26"/>
      <c r="P31" s="26"/>
      <c r="Q31" s="26"/>
      <c r="R31" s="26"/>
      <c r="S31" s="26"/>
      <c r="T31" s="26"/>
      <c r="U31" s="26"/>
      <c r="V31" s="26"/>
      <c r="W31" s="26"/>
      <c r="X31" s="26"/>
    </row>
    <row r="32" spans="1:24" ht="21.5" thickBot="1" x14ac:dyDescent="0.35">
      <c r="A32" s="26"/>
      <c r="B32" s="26"/>
      <c r="C32" s="26"/>
      <c r="D32" s="26"/>
      <c r="E32" s="68" t="s">
        <v>234</v>
      </c>
      <c r="F32" s="69" t="s">
        <v>102</v>
      </c>
      <c r="G32" s="257">
        <f>INDEX('Wholesale tariffs'!$M$48:$Y$48,MATCH('Charging arrangements table'!$H$10,'Wholesale tariffs'!$M$5:$Y$5,0))</f>
        <v>101.53</v>
      </c>
      <c r="H32" s="262">
        <f>INDEX('Wholesale tariffs'!$M$55:$Y$55,MATCH('Charging arrangements table'!$H$10,'Wholesale tariffs'!$M$5:$Y$5,0))</f>
        <v>191.76</v>
      </c>
      <c r="I32" s="261"/>
      <c r="J32" s="26"/>
      <c r="K32" s="26"/>
      <c r="L32" s="26"/>
      <c r="M32" s="26"/>
      <c r="N32" s="26"/>
      <c r="O32" s="26"/>
      <c r="P32" s="26"/>
      <c r="Q32" s="26"/>
      <c r="R32" s="26"/>
      <c r="S32" s="26"/>
      <c r="T32" s="26"/>
      <c r="U32" s="26"/>
      <c r="V32" s="26"/>
      <c r="W32" s="26"/>
      <c r="X32" s="26"/>
    </row>
    <row r="33" spans="1:30" ht="13.5" thickBot="1" x14ac:dyDescent="0.35">
      <c r="A33" s="26"/>
      <c r="B33" s="26"/>
      <c r="C33" s="26"/>
      <c r="D33" s="26"/>
      <c r="E33" s="68" t="s">
        <v>229</v>
      </c>
      <c r="F33" s="69" t="s">
        <v>230</v>
      </c>
      <c r="G33" s="257" t="s">
        <v>235</v>
      </c>
      <c r="H33" s="262" t="s">
        <v>235</v>
      </c>
      <c r="I33" s="262"/>
      <c r="J33" s="26"/>
      <c r="K33" s="26"/>
      <c r="L33" s="26"/>
      <c r="M33" s="26"/>
      <c r="N33" s="26"/>
      <c r="O33" s="26"/>
      <c r="P33" s="26"/>
      <c r="Q33" s="26"/>
      <c r="R33" s="26"/>
      <c r="S33" s="26"/>
      <c r="T33" s="26"/>
      <c r="U33" s="26"/>
      <c r="V33" s="26"/>
      <c r="W33" s="26"/>
      <c r="X33" s="26"/>
    </row>
    <row r="34" spans="1:30" x14ac:dyDescent="0.3">
      <c r="A34" s="26"/>
      <c r="B34" s="26"/>
      <c r="C34" s="26"/>
      <c r="D34" s="26"/>
      <c r="E34" s="26"/>
      <c r="F34" s="26"/>
      <c r="G34" s="26"/>
      <c r="H34" s="26"/>
      <c r="I34" s="26"/>
      <c r="J34" s="26"/>
      <c r="K34" s="26"/>
      <c r="L34" s="26"/>
      <c r="M34" s="26"/>
      <c r="N34" s="26"/>
      <c r="O34" s="26"/>
      <c r="P34" s="26"/>
      <c r="Q34" s="26"/>
      <c r="R34" s="26"/>
      <c r="S34" s="26"/>
      <c r="T34" s="26"/>
      <c r="U34" s="26"/>
      <c r="V34" s="26"/>
      <c r="W34" s="26"/>
      <c r="X34" s="26"/>
    </row>
    <row r="35" spans="1:30" customFormat="1" x14ac:dyDescent="0.3">
      <c r="A35" s="8"/>
      <c r="B35" s="15" t="s">
        <v>237</v>
      </c>
      <c r="C35" s="15"/>
      <c r="D35" s="15"/>
      <c r="E35" s="15"/>
      <c r="F35" s="15"/>
      <c r="G35" s="37"/>
      <c r="H35" s="37"/>
      <c r="I35" s="15"/>
      <c r="J35" s="15"/>
      <c r="K35" s="15"/>
      <c r="L35" s="15"/>
      <c r="M35" s="15"/>
      <c r="N35" s="15"/>
      <c r="O35" s="15"/>
      <c r="P35" s="15"/>
      <c r="Q35" s="15"/>
      <c r="R35" s="15"/>
      <c r="S35" s="15"/>
      <c r="T35" s="15"/>
      <c r="U35" s="15"/>
      <c r="V35" s="15"/>
      <c r="W35" s="15"/>
      <c r="X35" s="15"/>
      <c r="Y35" s="15"/>
    </row>
    <row r="36" spans="1:30" x14ac:dyDescent="0.3">
      <c r="A36" s="26"/>
      <c r="B36" s="26"/>
      <c r="C36" s="26"/>
      <c r="D36" s="26"/>
      <c r="E36" s="26"/>
      <c r="F36" s="26"/>
      <c r="G36" s="26"/>
      <c r="H36" s="26"/>
      <c r="I36" s="26"/>
      <c r="J36" s="26"/>
      <c r="K36" s="26"/>
      <c r="L36" s="26"/>
      <c r="M36" s="26"/>
      <c r="N36" s="26"/>
      <c r="O36" s="26"/>
      <c r="P36" s="26"/>
      <c r="Q36" s="26"/>
      <c r="R36" s="26"/>
      <c r="S36" s="26"/>
      <c r="T36" s="26"/>
      <c r="U36" s="26"/>
      <c r="V36" s="26"/>
      <c r="W36" s="26"/>
      <c r="X36" s="26"/>
    </row>
    <row r="37" spans="1:30" x14ac:dyDescent="0.3">
      <c r="D37" s="26"/>
      <c r="G37" s="41"/>
      <c r="K37" s="8"/>
      <c r="L37" s="4"/>
      <c r="N37" s="26"/>
      <c r="Q37" s="41"/>
      <c r="U37" s="32"/>
      <c r="Z37" s="8"/>
      <c r="AD37" s="4"/>
    </row>
    <row r="38" spans="1:30" ht="26" x14ac:dyDescent="0.3">
      <c r="A38" s="26"/>
      <c r="B38" s="26"/>
      <c r="C38" s="26"/>
      <c r="D38" s="26"/>
      <c r="E38" s="411" t="s">
        <v>223</v>
      </c>
      <c r="F38" s="412"/>
      <c r="G38" s="287" t="s">
        <v>238</v>
      </c>
      <c r="H38" s="287" t="s">
        <v>239</v>
      </c>
      <c r="I38" s="287" t="s">
        <v>240</v>
      </c>
      <c r="J38" s="288" t="s">
        <v>241</v>
      </c>
      <c r="K38" s="26"/>
      <c r="L38" s="26"/>
      <c r="M38" s="411" t="s">
        <v>224</v>
      </c>
      <c r="N38" s="412"/>
      <c r="O38" s="287" t="s">
        <v>238</v>
      </c>
      <c r="P38" s="287" t="s">
        <v>239</v>
      </c>
      <c r="Q38" s="287" t="s">
        <v>240</v>
      </c>
      <c r="R38" s="288" t="s">
        <v>241</v>
      </c>
      <c r="S38" s="26"/>
      <c r="T38" s="26"/>
      <c r="U38" s="26"/>
      <c r="V38" s="26"/>
      <c r="W38" s="26"/>
      <c r="X38" s="26"/>
    </row>
    <row r="39" spans="1:30" customFormat="1" ht="39" x14ac:dyDescent="0.3">
      <c r="A39" s="26"/>
      <c r="B39" s="26"/>
      <c r="C39" s="26"/>
      <c r="D39" s="26"/>
      <c r="E39" s="286" t="s">
        <v>237</v>
      </c>
      <c r="F39" s="287" t="s">
        <v>222</v>
      </c>
      <c r="G39" s="288" t="str">
        <f>"Sites up to "&amp;ROUND(Cockpit!$I$58,0)&amp;" properties"</f>
        <v>Sites up to 100 properties</v>
      </c>
      <c r="H39" s="288" t="str">
        <f>"Sites between "&amp;ROUND(Cockpit!$I$58,0)+1&amp;" and "&amp;ROUND(Cockpit!$I$59,0)&amp;" properties"</f>
        <v>Sites between 101 and 200 properties</v>
      </c>
      <c r="I39" s="288" t="str">
        <f>"Sites between "&amp;ROUND(Cockpit!$I$59,0)+1&amp;" and "&amp;ROUND(Cockpit!$I$60,0)&amp;" properties"</f>
        <v>Sites between 201 and 350 properties</v>
      </c>
      <c r="J39" s="288" t="str">
        <f>"Sites above "&amp;ROUND(Cockpit!$I$60,0)&amp;" properties"</f>
        <v>Sites above 350 properties</v>
      </c>
      <c r="K39" s="26"/>
      <c r="L39" s="26"/>
      <c r="M39" s="286" t="s">
        <v>237</v>
      </c>
      <c r="N39" s="287" t="s">
        <v>222</v>
      </c>
      <c r="O39" s="288" t="str">
        <f>G39</f>
        <v>Sites up to 100 properties</v>
      </c>
      <c r="P39" s="288" t="str">
        <f>H39</f>
        <v>Sites between 101 and 200 properties</v>
      </c>
      <c r="Q39" s="288" t="str">
        <f>I39</f>
        <v>Sites between 201 and 350 properties</v>
      </c>
      <c r="R39" s="288" t="str">
        <f>J39</f>
        <v>Sites above 350 properties</v>
      </c>
      <c r="S39" s="8"/>
      <c r="T39" s="26"/>
      <c r="U39" s="26"/>
      <c r="V39" s="26"/>
      <c r="W39" s="26"/>
      <c r="X39" s="26"/>
      <c r="Y39" s="8"/>
    </row>
    <row r="40" spans="1:30" ht="21" x14ac:dyDescent="0.3">
      <c r="A40" s="26"/>
      <c r="B40" s="26"/>
      <c r="C40" s="26"/>
      <c r="D40" s="26"/>
      <c r="E40" s="281" t="str">
        <f>'Avoided Operating Costs'!G92</f>
        <v>Scientific services</v>
      </c>
      <c r="F40" s="282" t="s">
        <v>242</v>
      </c>
      <c r="G40" s="282">
        <f>'Avoided Operating Costs'!M92</f>
        <v>1.425347210076799</v>
      </c>
      <c r="H40" s="282">
        <f>'Avoided Operating Costs'!N92</f>
        <v>1.425347210076799</v>
      </c>
      <c r="I40" s="282">
        <f>'Avoided Operating Costs'!O92</f>
        <v>1.425347210076799</v>
      </c>
      <c r="J40" s="282">
        <f>'Avoided Operating Costs'!O92</f>
        <v>1.425347210076799</v>
      </c>
      <c r="K40" s="26"/>
      <c r="L40" s="26"/>
      <c r="M40" s="281" t="s">
        <v>243</v>
      </c>
      <c r="N40" s="282" t="s">
        <v>242</v>
      </c>
      <c r="O40" s="282">
        <f>'Avoided Operating Costs'!M100</f>
        <v>10.941338635959896</v>
      </c>
      <c r="P40" s="282">
        <f>'Avoided Operating Costs'!N100</f>
        <v>9.728445590040625</v>
      </c>
      <c r="Q40" s="282">
        <f>'Avoided Operating Costs'!O100</f>
        <v>8.747863768952362</v>
      </c>
      <c r="R40" s="282" t="s">
        <v>244</v>
      </c>
      <c r="T40" s="26"/>
      <c r="U40" s="26"/>
      <c r="V40" s="26"/>
      <c r="W40" s="26"/>
      <c r="X40" s="26"/>
    </row>
    <row r="41" spans="1:30" ht="21" x14ac:dyDescent="0.3">
      <c r="A41" s="26"/>
      <c r="B41" s="26"/>
      <c r="C41" s="26"/>
      <c r="D41" s="26"/>
      <c r="E41" s="283" t="str">
        <f>'Avoided Operating Costs'!G93</f>
        <v>Emergency response</v>
      </c>
      <c r="F41" s="284" t="s">
        <v>242</v>
      </c>
      <c r="G41" s="284">
        <f>'Avoided Operating Costs'!M93</f>
        <v>0.35385279133983155</v>
      </c>
      <c r="H41" s="284">
        <f>'Avoided Operating Costs'!N93</f>
        <v>0.35385279133983155</v>
      </c>
      <c r="I41" s="284">
        <f>'Avoided Operating Costs'!O93</f>
        <v>0.35385279133983155</v>
      </c>
      <c r="J41" s="284">
        <f>'Avoided Operating Costs'!O93</f>
        <v>0.35385279133983155</v>
      </c>
      <c r="K41" s="26"/>
      <c r="L41" s="26"/>
      <c r="M41" s="283" t="s">
        <v>245</v>
      </c>
      <c r="N41" s="284" t="s">
        <v>242</v>
      </c>
      <c r="O41" s="284">
        <f>'Avoided Operating Costs'!M101</f>
        <v>2.0369442925630636</v>
      </c>
      <c r="P41" s="284">
        <f>'Avoided Operating Costs'!N101</f>
        <v>1.8111405175793693</v>
      </c>
      <c r="Q41" s="284">
        <f>'Avoided Operating Costs'!O101</f>
        <v>1.6285860230779203</v>
      </c>
      <c r="R41" s="284" t="s">
        <v>244</v>
      </c>
      <c r="T41" s="26"/>
      <c r="U41" s="26"/>
      <c r="V41" s="26"/>
      <c r="W41" s="26"/>
      <c r="X41" s="26"/>
    </row>
    <row r="42" spans="1:30" s="7" customFormat="1" ht="21" x14ac:dyDescent="0.3">
      <c r="A42" s="26"/>
      <c r="B42" s="26"/>
      <c r="C42" s="26"/>
      <c r="D42" s="26"/>
      <c r="E42" s="281" t="str">
        <f>'Avoided Operating Costs'!G94</f>
        <v>Water Operational costs</v>
      </c>
      <c r="F42" s="282" t="s">
        <v>242</v>
      </c>
      <c r="G42" s="282">
        <f>'Avoided Operating Costs'!M94</f>
        <v>0.58765210434678483</v>
      </c>
      <c r="H42" s="282">
        <f>'Avoided Operating Costs'!N94</f>
        <v>0.57141618253544213</v>
      </c>
      <c r="I42" s="282">
        <f>'Avoided Operating Costs'!O94</f>
        <v>0.51247908634312089</v>
      </c>
      <c r="J42" s="282" t="s">
        <v>244</v>
      </c>
      <c r="K42" s="26"/>
      <c r="L42" s="26"/>
      <c r="M42" s="281" t="s">
        <v>246</v>
      </c>
      <c r="N42" s="282" t="s">
        <v>242</v>
      </c>
      <c r="O42" s="282">
        <f>'Avoided Capital Maintenance'!K73</f>
        <v>10.935032023889807</v>
      </c>
      <c r="P42" s="282">
        <f>'Avoided Capital Maintenance'!L73</f>
        <v>9.7228380922359499</v>
      </c>
      <c r="Q42" s="282">
        <f>'Avoided Capital Maintenance'!M73</f>
        <v>8.7428214807033289</v>
      </c>
      <c r="R42" s="282" t="s">
        <v>244</v>
      </c>
      <c r="T42" s="26"/>
      <c r="U42" s="26"/>
      <c r="V42" s="26"/>
      <c r="W42" s="26"/>
      <c r="X42" s="26"/>
      <c r="Y42" s="8"/>
      <c r="Z42"/>
    </row>
    <row r="43" spans="1:30" ht="21" x14ac:dyDescent="0.3">
      <c r="A43" s="26"/>
      <c r="B43" s="26"/>
      <c r="C43" s="26"/>
      <c r="D43" s="26"/>
      <c r="E43" s="283" t="str">
        <f>'Avoided Operating Costs'!G95</f>
        <v>Leakage management</v>
      </c>
      <c r="F43" s="284" t="s">
        <v>242</v>
      </c>
      <c r="G43" s="284">
        <f>'Avoided Operating Costs'!M95</f>
        <v>11.545722401967597</v>
      </c>
      <c r="H43" s="284">
        <f>'Avoided Operating Costs'!N95</f>
        <v>11.226731889065096</v>
      </c>
      <c r="I43" s="284">
        <f>'Avoided Operating Costs'!O95</f>
        <v>10.068782573847393</v>
      </c>
      <c r="J43" s="284" t="s">
        <v>244</v>
      </c>
      <c r="K43" s="26"/>
      <c r="L43" s="26"/>
      <c r="M43" s="285" t="s">
        <v>247</v>
      </c>
      <c r="N43" s="290" t="s">
        <v>242</v>
      </c>
      <c r="O43" s="289">
        <f>SUM(O40:O42)</f>
        <v>23.913314952412769</v>
      </c>
      <c r="P43" s="289">
        <f>SUM(P40:P42)</f>
        <v>21.262424199855943</v>
      </c>
      <c r="Q43" s="289">
        <f>SUM(Q40:Q42)</f>
        <v>19.119271272733613</v>
      </c>
      <c r="R43" s="289" t="s">
        <v>248</v>
      </c>
      <c r="T43" s="26"/>
      <c r="U43" s="26"/>
      <c r="V43" s="26"/>
      <c r="W43" s="26"/>
      <c r="X43" s="26"/>
    </row>
    <row r="44" spans="1:30" ht="13.4" customHeight="1" x14ac:dyDescent="0.3">
      <c r="A44" s="26"/>
      <c r="B44" s="26"/>
      <c r="C44" s="26"/>
      <c r="D44" s="26"/>
      <c r="E44" s="281" t="str">
        <f>'Avoided Operating Costs'!G96</f>
        <v>Business overheads</v>
      </c>
      <c r="F44" s="282" t="s">
        <v>242</v>
      </c>
      <c r="G44" s="282">
        <f>'Avoided Operating Costs'!M96</f>
        <v>1.9606808261121833</v>
      </c>
      <c r="H44" s="282">
        <f>'Avoided Operating Costs'!N96</f>
        <v>1.9134378055925705</v>
      </c>
      <c r="I44" s="282">
        <f>'Avoided Operating Costs'!O96</f>
        <v>1.7419436042078971</v>
      </c>
      <c r="J44" s="282" t="s">
        <v>244</v>
      </c>
      <c r="K44" s="26"/>
      <c r="L44" s="26"/>
      <c r="M44" s="26"/>
      <c r="N44" s="26"/>
      <c r="O44" s="26"/>
      <c r="P44" s="26"/>
      <c r="Q44" s="26"/>
      <c r="T44" s="26"/>
      <c r="U44" s="26"/>
      <c r="V44" s="26"/>
      <c r="W44" s="26"/>
      <c r="X44" s="26"/>
    </row>
    <row r="45" spans="1:30" s="7" customFormat="1" ht="13.4" customHeight="1" x14ac:dyDescent="0.3">
      <c r="A45" s="26"/>
      <c r="B45" s="26"/>
      <c r="C45" s="26"/>
      <c r="D45" s="26"/>
      <c r="E45" s="283" t="s">
        <v>246</v>
      </c>
      <c r="F45" s="284" t="s">
        <v>242</v>
      </c>
      <c r="G45" s="284">
        <f>'Avoided Capital Maintenance'!K72</f>
        <v>31.73008052673617</v>
      </c>
      <c r="H45" s="284">
        <f>'Avoided Capital Maintenance'!L72</f>
        <v>31.356678563161577</v>
      </c>
      <c r="I45" s="284">
        <f>'Avoided Capital Maintenance'!M72</f>
        <v>30.001213336036454</v>
      </c>
      <c r="J45" s="284" t="s">
        <v>244</v>
      </c>
      <c r="K45" s="26"/>
      <c r="L45" s="26"/>
      <c r="M45" s="26"/>
      <c r="N45" s="26"/>
      <c r="O45" s="26"/>
      <c r="P45" s="26"/>
      <c r="Q45" s="26"/>
      <c r="T45" s="26"/>
      <c r="U45" s="26"/>
      <c r="V45" s="26"/>
      <c r="W45" s="26"/>
      <c r="X45" s="26"/>
      <c r="Y45" s="8"/>
      <c r="Z45"/>
    </row>
    <row r="46" spans="1:30" x14ac:dyDescent="0.3">
      <c r="A46" s="26"/>
      <c r="B46" s="26"/>
      <c r="C46" s="26"/>
      <c r="D46" s="26"/>
      <c r="E46" s="285" t="s">
        <v>247</v>
      </c>
      <c r="F46" s="290" t="s">
        <v>242</v>
      </c>
      <c r="G46" s="289">
        <f>SUM(G40:G45)</f>
        <v>47.603335860579364</v>
      </c>
      <c r="H46" s="289">
        <f>SUM(H40:H45)</f>
        <v>46.847464441771315</v>
      </c>
      <c r="I46" s="289">
        <f>SUM(I40:I45)</f>
        <v>44.103618601851494</v>
      </c>
      <c r="J46" s="289" t="s">
        <v>248</v>
      </c>
      <c r="K46" s="26"/>
      <c r="L46" s="26"/>
      <c r="M46" s="26"/>
      <c r="N46" s="26"/>
      <c r="O46" s="26"/>
      <c r="P46" s="26"/>
      <c r="Q46" s="26"/>
      <c r="T46" s="26"/>
      <c r="U46" s="26"/>
      <c r="V46" s="26"/>
      <c r="W46" s="26"/>
      <c r="X46" s="26"/>
    </row>
    <row r="47" spans="1:30" x14ac:dyDescent="0.3">
      <c r="A47" s="26"/>
      <c r="B47" s="26"/>
      <c r="C47" s="26"/>
      <c r="D47" s="26"/>
      <c r="E47" s="26"/>
      <c r="F47" s="26"/>
      <c r="G47" s="26"/>
      <c r="H47" s="26"/>
      <c r="I47" s="26"/>
      <c r="J47" s="26"/>
      <c r="K47" s="26"/>
      <c r="L47" s="26"/>
      <c r="M47" s="26"/>
      <c r="N47" s="26"/>
      <c r="O47" s="26"/>
      <c r="P47" s="26"/>
      <c r="Q47" s="26"/>
      <c r="R47" s="26"/>
      <c r="S47" s="26"/>
      <c r="T47" s="26"/>
      <c r="U47" s="26"/>
      <c r="V47" s="26"/>
      <c r="W47" s="26"/>
      <c r="X47" s="26"/>
    </row>
    <row r="48" spans="1:30" customFormat="1" x14ac:dyDescent="0.3">
      <c r="A48" s="8"/>
      <c r="B48" s="15" t="s">
        <v>249</v>
      </c>
      <c r="C48" s="15"/>
      <c r="D48" s="15"/>
      <c r="E48" s="15"/>
      <c r="F48" s="15"/>
      <c r="G48" s="37"/>
      <c r="H48" s="37"/>
      <c r="I48" s="15"/>
      <c r="J48" s="15"/>
      <c r="K48" s="15"/>
      <c r="L48" s="15"/>
      <c r="M48" s="15"/>
      <c r="N48" s="15"/>
      <c r="O48" s="15"/>
      <c r="P48" s="15"/>
      <c r="Q48" s="15"/>
      <c r="R48" s="15"/>
      <c r="S48" s="15"/>
      <c r="T48" s="15"/>
      <c r="U48" s="15"/>
      <c r="V48" s="15"/>
      <c r="W48" s="15"/>
      <c r="X48" s="15"/>
      <c r="Y48" s="15"/>
    </row>
    <row r="49" spans="1:30" x14ac:dyDescent="0.3">
      <c r="C49" s="32"/>
      <c r="D49" s="26"/>
      <c r="G49" s="41"/>
      <c r="H49" s="41"/>
    </row>
    <row r="50" spans="1:30" x14ac:dyDescent="0.3">
      <c r="D50" s="26"/>
      <c r="E50" s="32" t="s">
        <v>223</v>
      </c>
      <c r="G50" s="41"/>
      <c r="K50" s="8"/>
      <c r="L50" s="4"/>
      <c r="M50" s="32" t="s">
        <v>224</v>
      </c>
      <c r="N50" s="26"/>
      <c r="Q50" s="41"/>
      <c r="U50" s="32"/>
      <c r="Z50" s="8"/>
      <c r="AD50" s="4"/>
    </row>
    <row r="51" spans="1:30" customFormat="1" ht="13.5" thickBot="1" x14ac:dyDescent="0.35">
      <c r="A51" s="26"/>
      <c r="B51" s="26"/>
      <c r="C51" s="26"/>
      <c r="D51" s="26"/>
      <c r="E51" s="26"/>
      <c r="F51" s="26"/>
      <c r="G51" s="26"/>
      <c r="H51" s="26"/>
      <c r="I51" s="26"/>
      <c r="J51" s="26"/>
      <c r="K51" s="26"/>
      <c r="L51" s="26"/>
      <c r="M51" s="8"/>
      <c r="N51" s="8"/>
      <c r="O51" s="8"/>
      <c r="P51" s="8"/>
      <c r="Q51" s="8"/>
      <c r="R51" s="26"/>
      <c r="S51" s="26"/>
      <c r="T51" s="26"/>
      <c r="U51" s="26"/>
      <c r="V51" s="26"/>
      <c r="W51" s="26"/>
      <c r="X51" s="26"/>
      <c r="Y51" s="8"/>
    </row>
    <row r="52" spans="1:30" ht="21.5" thickBot="1" x14ac:dyDescent="0.35">
      <c r="A52" s="26"/>
      <c r="B52" s="26"/>
      <c r="C52" s="26"/>
      <c r="D52" s="26"/>
      <c r="E52" s="60" t="s">
        <v>221</v>
      </c>
      <c r="F52" s="61" t="s">
        <v>222</v>
      </c>
      <c r="G52" s="61" t="str">
        <f>G39</f>
        <v>Sites up to 100 properties</v>
      </c>
      <c r="H52" s="61" t="str">
        <f>H39</f>
        <v>Sites between 101 and 200 properties</v>
      </c>
      <c r="I52" s="61" t="str">
        <f>I39</f>
        <v>Sites between 201 and 350 properties</v>
      </c>
      <c r="J52" s="70"/>
      <c r="K52" s="70"/>
      <c r="L52" s="70"/>
      <c r="M52" s="60" t="s">
        <v>221</v>
      </c>
      <c r="N52" s="61" t="s">
        <v>222</v>
      </c>
      <c r="O52" s="61" t="str">
        <f>O39</f>
        <v>Sites up to 100 properties</v>
      </c>
      <c r="P52" s="61" t="str">
        <f>P39</f>
        <v>Sites between 101 and 200 properties</v>
      </c>
      <c r="Q52" s="61" t="str">
        <f>Q39</f>
        <v>Sites between 201 and 350 properties</v>
      </c>
      <c r="R52" s="26"/>
      <c r="S52" s="26"/>
      <c r="T52" s="26"/>
      <c r="U52" s="26"/>
      <c r="V52" s="26"/>
      <c r="W52" s="26"/>
      <c r="X52" s="26"/>
    </row>
    <row r="53" spans="1:30" ht="21.5" thickBot="1" x14ac:dyDescent="0.35">
      <c r="C53" s="32"/>
      <c r="D53" s="26"/>
      <c r="E53" s="68" t="s">
        <v>250</v>
      </c>
      <c r="F53" s="69" t="s">
        <v>198</v>
      </c>
      <c r="G53" s="74">
        <f>'Avoided Operating Costs'!M104</f>
        <v>0</v>
      </c>
      <c r="H53" s="74">
        <f>'Avoided Operating Costs'!N104</f>
        <v>0</v>
      </c>
      <c r="I53" s="75">
        <f>'Avoided Operating Costs'!O104</f>
        <v>0</v>
      </c>
      <c r="J53" s="72"/>
      <c r="K53" s="72"/>
      <c r="L53" s="72"/>
      <c r="M53" s="68" t="s">
        <v>250</v>
      </c>
      <c r="N53" s="69" t="s">
        <v>198</v>
      </c>
      <c r="O53" s="74">
        <f>'Avoided Operating Costs'!M104</f>
        <v>0</v>
      </c>
      <c r="P53" s="74">
        <f>'Avoided Operating Costs'!N104</f>
        <v>0</v>
      </c>
      <c r="Q53" s="75">
        <f>'Avoided Operating Costs'!O104</f>
        <v>0</v>
      </c>
    </row>
    <row r="54" spans="1:30" ht="17.899999999999999" customHeight="1" thickBot="1" x14ac:dyDescent="0.35">
      <c r="A54" s="26"/>
      <c r="B54" s="26"/>
      <c r="C54" s="26"/>
      <c r="D54" s="26"/>
      <c r="E54" s="408" t="s">
        <v>251</v>
      </c>
      <c r="F54" s="409"/>
      <c r="G54" s="409"/>
      <c r="H54" s="409"/>
      <c r="I54" s="410"/>
      <c r="J54" s="26"/>
      <c r="K54" s="26"/>
      <c r="L54" s="26"/>
      <c r="M54" s="408" t="s">
        <v>251</v>
      </c>
      <c r="N54" s="409"/>
      <c r="O54" s="409"/>
      <c r="P54" s="409"/>
      <c r="Q54" s="410"/>
      <c r="R54" s="26"/>
      <c r="S54" s="26"/>
      <c r="T54" s="26"/>
      <c r="U54" s="26"/>
      <c r="V54" s="26"/>
      <c r="W54" s="26"/>
      <c r="X54" s="26"/>
    </row>
    <row r="55" spans="1:30" ht="13.5" thickBot="1" x14ac:dyDescent="0.35">
      <c r="C55" s="32"/>
      <c r="D55" s="26"/>
      <c r="E55" s="66" t="s">
        <v>252</v>
      </c>
      <c r="F55" s="67" t="s">
        <v>102</v>
      </c>
      <c r="G55" s="76">
        <f>$G$18*(1-G53)</f>
        <v>211.95</v>
      </c>
      <c r="H55" s="76">
        <f>$G$18*(1-H53)</f>
        <v>211.95</v>
      </c>
      <c r="I55" s="79">
        <f>$G$18*(1-I53)</f>
        <v>211.95</v>
      </c>
      <c r="J55" s="72"/>
      <c r="K55" s="73"/>
      <c r="L55" s="72"/>
      <c r="M55" s="66" t="s">
        <v>252</v>
      </c>
      <c r="N55" s="67" t="s">
        <v>102</v>
      </c>
      <c r="O55" s="76">
        <f>$H$18*(1-O53)</f>
        <v>270.85000000000002</v>
      </c>
      <c r="P55" s="76">
        <f>$H$18*(1-P53)</f>
        <v>270.85000000000002</v>
      </c>
      <c r="Q55" s="79">
        <f>$H$18*(1-Q53)</f>
        <v>270.85000000000002</v>
      </c>
    </row>
    <row r="56" spans="1:30" ht="13.5" thickBot="1" x14ac:dyDescent="0.35">
      <c r="C56" s="32"/>
      <c r="D56" s="26"/>
      <c r="E56" s="68" t="s">
        <v>175</v>
      </c>
      <c r="F56" s="69" t="s">
        <v>102</v>
      </c>
      <c r="G56" s="80">
        <f>$G$27*(1-G53)</f>
        <v>120.06</v>
      </c>
      <c r="H56" s="80">
        <f>$G$27*(1-H53)</f>
        <v>120.06</v>
      </c>
      <c r="I56" s="81">
        <f>$G$27*(1-I53)</f>
        <v>120.06</v>
      </c>
      <c r="J56" s="72"/>
      <c r="K56" s="72"/>
      <c r="L56" s="72"/>
      <c r="M56" s="68" t="s">
        <v>175</v>
      </c>
      <c r="N56" s="69" t="s">
        <v>102</v>
      </c>
      <c r="O56" s="80">
        <f>$H$27*(1-O53)</f>
        <v>270.85000000000002</v>
      </c>
      <c r="P56" s="80">
        <f>$H$27*(1-P53)</f>
        <v>270.85000000000002</v>
      </c>
      <c r="Q56" s="81">
        <f>$H$27*(1-Q53)</f>
        <v>270.85000000000002</v>
      </c>
    </row>
    <row r="57" spans="1:30" ht="17.899999999999999" customHeight="1" thickBot="1" x14ac:dyDescent="0.35">
      <c r="A57" s="26"/>
      <c r="B57" s="26"/>
      <c r="C57" s="26"/>
      <c r="D57" s="26"/>
      <c r="E57" s="408" t="s">
        <v>253</v>
      </c>
      <c r="F57" s="409"/>
      <c r="G57" s="409"/>
      <c r="H57" s="409"/>
      <c r="I57" s="410"/>
      <c r="J57" s="26"/>
      <c r="K57" s="26"/>
      <c r="L57" s="26"/>
      <c r="M57" s="408" t="s">
        <v>253</v>
      </c>
      <c r="N57" s="409"/>
      <c r="O57" s="409"/>
      <c r="P57" s="409"/>
      <c r="Q57" s="410"/>
      <c r="R57" s="26"/>
      <c r="S57" s="26"/>
      <c r="T57" s="26"/>
      <c r="U57" s="26"/>
      <c r="V57" s="26"/>
      <c r="W57" s="26"/>
      <c r="X57" s="26"/>
    </row>
    <row r="58" spans="1:30" ht="21.5" thickBot="1" x14ac:dyDescent="0.35">
      <c r="A58" s="26"/>
      <c r="B58" s="26"/>
      <c r="C58" s="26"/>
      <c r="D58" s="26"/>
      <c r="E58" s="405" t="s">
        <v>252</v>
      </c>
      <c r="F58" s="406"/>
      <c r="G58" s="406"/>
      <c r="H58" s="406"/>
      <c r="I58" s="407"/>
      <c r="J58" s="26"/>
      <c r="K58" s="26"/>
      <c r="L58" s="26"/>
      <c r="M58" s="66" t="s">
        <v>232</v>
      </c>
      <c r="N58" s="67" t="s">
        <v>102</v>
      </c>
      <c r="O58" s="76">
        <f t="shared" ref="O58:Q60" si="0">$H21*(1-O$53)</f>
        <v>259.92</v>
      </c>
      <c r="P58" s="76">
        <f t="shared" si="0"/>
        <v>259.92</v>
      </c>
      <c r="Q58" s="79">
        <f t="shared" si="0"/>
        <v>259.92</v>
      </c>
      <c r="R58" s="26"/>
      <c r="S58" s="26"/>
      <c r="T58" s="26"/>
      <c r="U58" s="26"/>
      <c r="V58" s="26"/>
      <c r="W58" s="26"/>
      <c r="X58" s="26"/>
    </row>
    <row r="59" spans="1:30" ht="21.5" thickBot="1" x14ac:dyDescent="0.35">
      <c r="A59" s="26"/>
      <c r="B59" s="26"/>
      <c r="C59" s="26"/>
      <c r="D59" s="26"/>
      <c r="E59" s="66" t="s">
        <v>232</v>
      </c>
      <c r="F59" s="67" t="s">
        <v>102</v>
      </c>
      <c r="G59" s="76">
        <f t="shared" ref="G59:I61" si="1">$G21*(1-G$53)</f>
        <v>208.27</v>
      </c>
      <c r="H59" s="76">
        <f t="shared" si="1"/>
        <v>208.27</v>
      </c>
      <c r="I59" s="79">
        <f t="shared" si="1"/>
        <v>208.27</v>
      </c>
      <c r="J59" s="26"/>
      <c r="K59" s="26"/>
      <c r="L59" s="26"/>
      <c r="M59" s="68" t="s">
        <v>233</v>
      </c>
      <c r="N59" s="69" t="s">
        <v>102</v>
      </c>
      <c r="O59" s="80">
        <f t="shared" si="0"/>
        <v>210.09</v>
      </c>
      <c r="P59" s="80">
        <f t="shared" si="0"/>
        <v>210.09</v>
      </c>
      <c r="Q59" s="81">
        <f t="shared" si="0"/>
        <v>210.09</v>
      </c>
      <c r="R59" s="26"/>
      <c r="S59" s="26"/>
      <c r="T59" s="26"/>
      <c r="U59" s="26"/>
      <c r="V59" s="26"/>
      <c r="W59" s="26"/>
      <c r="X59" s="26"/>
    </row>
    <row r="60" spans="1:30" ht="21.5" thickBot="1" x14ac:dyDescent="0.35">
      <c r="A60" s="26"/>
      <c r="B60" s="26"/>
      <c r="C60" s="26"/>
      <c r="D60" s="26"/>
      <c r="E60" s="68" t="s">
        <v>233</v>
      </c>
      <c r="F60" s="69" t="s">
        <v>102</v>
      </c>
      <c r="G60" s="80">
        <f t="shared" si="1"/>
        <v>133</v>
      </c>
      <c r="H60" s="80">
        <f t="shared" si="1"/>
        <v>133</v>
      </c>
      <c r="I60" s="81">
        <f t="shared" si="1"/>
        <v>133</v>
      </c>
      <c r="J60" s="26"/>
      <c r="K60" s="26"/>
      <c r="L60" s="26"/>
      <c r="M60" s="66" t="s">
        <v>234</v>
      </c>
      <c r="N60" s="67" t="s">
        <v>102</v>
      </c>
      <c r="O60" s="76">
        <f t="shared" si="0"/>
        <v>191.76</v>
      </c>
      <c r="P60" s="76">
        <f t="shared" si="0"/>
        <v>191.76</v>
      </c>
      <c r="Q60" s="79">
        <f t="shared" si="0"/>
        <v>191.76</v>
      </c>
      <c r="R60" s="26"/>
      <c r="S60" s="26"/>
      <c r="T60" s="26"/>
      <c r="U60" s="26"/>
      <c r="V60" s="26"/>
      <c r="W60" s="26"/>
      <c r="X60" s="26"/>
    </row>
    <row r="61" spans="1:30" ht="21.5" thickBot="1" x14ac:dyDescent="0.35">
      <c r="A61" s="26"/>
      <c r="B61" s="26"/>
      <c r="C61" s="26"/>
      <c r="D61" s="26"/>
      <c r="E61" s="66" t="s">
        <v>234</v>
      </c>
      <c r="F61" s="67" t="s">
        <v>102</v>
      </c>
      <c r="G61" s="76">
        <f t="shared" si="1"/>
        <v>112.25</v>
      </c>
      <c r="H61" s="76">
        <f t="shared" si="1"/>
        <v>112.25</v>
      </c>
      <c r="I61" s="79">
        <f t="shared" si="1"/>
        <v>112.25</v>
      </c>
      <c r="J61" s="26"/>
      <c r="K61" s="26"/>
      <c r="L61" s="26"/>
      <c r="M61" s="62" t="s">
        <v>229</v>
      </c>
      <c r="N61" s="248"/>
      <c r="O61" s="77"/>
      <c r="P61" s="77"/>
      <c r="Q61" s="78"/>
      <c r="R61" s="26"/>
      <c r="S61" s="26"/>
      <c r="T61" s="26"/>
      <c r="U61" s="26"/>
      <c r="V61" s="26"/>
      <c r="W61" s="26"/>
      <c r="X61" s="26"/>
    </row>
    <row r="62" spans="1:30" ht="13.5" thickBot="1" x14ac:dyDescent="0.35">
      <c r="C62" s="32"/>
      <c r="D62" s="26"/>
      <c r="E62" s="405" t="s">
        <v>175</v>
      </c>
      <c r="F62" s="406"/>
      <c r="G62" s="406"/>
      <c r="H62" s="406"/>
      <c r="I62" s="407"/>
      <c r="J62" s="72"/>
      <c r="K62" s="73"/>
      <c r="L62" s="72"/>
      <c r="M62" s="66" t="s">
        <v>254</v>
      </c>
      <c r="N62" s="67" t="s">
        <v>230</v>
      </c>
      <c r="O62" s="76">
        <f>$H$19</f>
        <v>0</v>
      </c>
      <c r="P62" s="76">
        <f>$H$19</f>
        <v>0</v>
      </c>
      <c r="Q62" s="79">
        <f>$H$19</f>
        <v>0</v>
      </c>
    </row>
    <row r="63" spans="1:30" ht="21.5" thickBot="1" x14ac:dyDescent="0.35">
      <c r="C63" s="32"/>
      <c r="D63" s="26"/>
      <c r="E63" s="66" t="s">
        <v>232</v>
      </c>
      <c r="F63" s="67" t="s">
        <v>102</v>
      </c>
      <c r="G63" s="76">
        <f t="shared" ref="G63:I64" si="2">$G30*(1-G$53)</f>
        <v>115.55</v>
      </c>
      <c r="H63" s="76">
        <f t="shared" si="2"/>
        <v>115.55</v>
      </c>
      <c r="I63" s="79">
        <f t="shared" si="2"/>
        <v>115.55</v>
      </c>
      <c r="J63" s="72"/>
      <c r="K63" s="73"/>
      <c r="L63" s="72"/>
      <c r="M63" s="68" t="s">
        <v>237</v>
      </c>
      <c r="N63" s="69" t="s">
        <v>230</v>
      </c>
      <c r="O63" s="80">
        <f>O43</f>
        <v>23.913314952412769</v>
      </c>
      <c r="P63" s="80">
        <f t="shared" ref="P63:Q63" si="3">P43</f>
        <v>21.262424199855943</v>
      </c>
      <c r="Q63" s="80">
        <f t="shared" si="3"/>
        <v>19.119271272733613</v>
      </c>
    </row>
    <row r="64" spans="1:30" ht="21.5" thickBot="1" x14ac:dyDescent="0.35">
      <c r="C64" s="32"/>
      <c r="D64" s="26"/>
      <c r="E64" s="68" t="s">
        <v>233</v>
      </c>
      <c r="F64" s="69" t="s">
        <v>102</v>
      </c>
      <c r="G64" s="80">
        <f t="shared" si="2"/>
        <v>101.53</v>
      </c>
      <c r="H64" s="80">
        <f t="shared" si="2"/>
        <v>101.53</v>
      </c>
      <c r="I64" s="81">
        <f t="shared" si="2"/>
        <v>101.53</v>
      </c>
      <c r="J64" s="72"/>
      <c r="K64" s="73"/>
      <c r="L64" s="72"/>
      <c r="M64" s="213" t="s">
        <v>255</v>
      </c>
      <c r="N64" s="214" t="s">
        <v>230</v>
      </c>
      <c r="O64" s="76">
        <f>O62-O63</f>
        <v>-23.913314952412769</v>
      </c>
      <c r="P64" s="76">
        <f>P62-P63</f>
        <v>-21.262424199855943</v>
      </c>
      <c r="Q64" s="79">
        <f>Q62-Q63</f>
        <v>-19.119271272733613</v>
      </c>
    </row>
    <row r="65" spans="1:27" ht="21.5" thickBot="1" x14ac:dyDescent="0.35">
      <c r="C65" s="32"/>
      <c r="D65" s="26"/>
      <c r="E65" s="66" t="s">
        <v>234</v>
      </c>
      <c r="F65" s="67" t="s">
        <v>102</v>
      </c>
      <c r="G65" s="76" t="e">
        <f>$G33*(1-G$53)</f>
        <v>#VALUE!</v>
      </c>
      <c r="H65" s="76" t="e">
        <f>$G33*(1-H$53)</f>
        <v>#VALUE!</v>
      </c>
      <c r="I65" s="79" t="e">
        <f>$G33*(1-I$53)</f>
        <v>#VALUE!</v>
      </c>
      <c r="J65" s="72"/>
      <c r="K65" s="73"/>
      <c r="L65" s="72"/>
    </row>
    <row r="66" spans="1:27" ht="13.5" thickBot="1" x14ac:dyDescent="0.35">
      <c r="C66" s="32"/>
      <c r="D66" s="26"/>
      <c r="E66" s="62" t="s">
        <v>229</v>
      </c>
      <c r="F66" s="71"/>
      <c r="G66" s="77"/>
      <c r="H66" s="77"/>
      <c r="I66" s="78"/>
      <c r="K66" s="8"/>
    </row>
    <row r="67" spans="1:27" ht="13.5" thickBot="1" x14ac:dyDescent="0.35">
      <c r="C67" s="32"/>
      <c r="D67" s="26"/>
      <c r="E67" s="66" t="s">
        <v>254</v>
      </c>
      <c r="F67" s="67" t="s">
        <v>230</v>
      </c>
      <c r="G67" s="76">
        <f>$G$19</f>
        <v>15.1</v>
      </c>
      <c r="H67" s="76">
        <f>$G$19</f>
        <v>15.1</v>
      </c>
      <c r="I67" s="79">
        <f>$G$19</f>
        <v>15.1</v>
      </c>
      <c r="K67" s="8"/>
    </row>
    <row r="68" spans="1:27" ht="13.5" thickBot="1" x14ac:dyDescent="0.35">
      <c r="E68" s="68" t="s">
        <v>237</v>
      </c>
      <c r="F68" s="69" t="s">
        <v>230</v>
      </c>
      <c r="G68" s="80">
        <f>G46</f>
        <v>47.603335860579364</v>
      </c>
      <c r="H68" s="80">
        <f>H46</f>
        <v>46.847464441771315</v>
      </c>
      <c r="I68" s="81">
        <f>I46</f>
        <v>44.103618601851494</v>
      </c>
      <c r="K68" s="8"/>
      <c r="Z68" s="8"/>
    </row>
    <row r="69" spans="1:27" ht="21.5" thickBot="1" x14ac:dyDescent="0.35">
      <c r="E69" s="213" t="s">
        <v>255</v>
      </c>
      <c r="F69" s="214" t="s">
        <v>230</v>
      </c>
      <c r="G69" s="76">
        <f>G67-G68</f>
        <v>-32.503335860579362</v>
      </c>
      <c r="H69" s="76">
        <f>H67-H68</f>
        <v>-31.747464441771314</v>
      </c>
      <c r="I69" s="79">
        <f>I67-I68</f>
        <v>-29.003618601851493</v>
      </c>
      <c r="K69" s="8"/>
      <c r="Z69" s="8"/>
      <c r="AA69"/>
    </row>
    <row r="70" spans="1:27" x14ac:dyDescent="0.3">
      <c r="G70" s="41"/>
      <c r="H70" s="41"/>
    </row>
    <row r="71" spans="1:27" customFormat="1" x14ac:dyDescent="0.3">
      <c r="E71" s="8"/>
      <c r="F71" s="8"/>
      <c r="G71" s="8"/>
      <c r="H71" s="8"/>
      <c r="I71" s="8"/>
      <c r="M71" s="8"/>
      <c r="N71" s="8"/>
      <c r="O71" s="8"/>
      <c r="P71" s="8"/>
      <c r="Q71" s="8"/>
    </row>
    <row r="72" spans="1:27" x14ac:dyDescent="0.3">
      <c r="C72" s="32"/>
      <c r="D72" s="26"/>
    </row>
    <row r="73" spans="1:27" x14ac:dyDescent="0.3">
      <c r="C73" s="32"/>
      <c r="D73" s="26"/>
      <c r="G73" s="41"/>
      <c r="H73" s="41"/>
    </row>
    <row r="74" spans="1:27" customFormat="1" x14ac:dyDescent="0.3">
      <c r="A74" s="15"/>
      <c r="B74" s="15" t="s">
        <v>76</v>
      </c>
      <c r="C74" s="144"/>
      <c r="D74" s="144"/>
      <c r="E74" s="144"/>
      <c r="F74" s="144"/>
      <c r="G74" s="144"/>
      <c r="H74" s="144"/>
      <c r="I74" s="144"/>
      <c r="J74" s="144"/>
      <c r="K74" s="144"/>
      <c r="L74" s="144"/>
      <c r="M74" s="144"/>
      <c r="N74" s="211"/>
      <c r="O74" s="211"/>
      <c r="P74" s="211"/>
      <c r="Q74" s="211"/>
      <c r="R74" s="211"/>
      <c r="S74" s="211"/>
      <c r="T74" s="211"/>
      <c r="U74" s="211"/>
      <c r="V74" s="211"/>
      <c r="W74" s="211"/>
      <c r="X74" s="211"/>
      <c r="Y74" s="211"/>
    </row>
  </sheetData>
  <sheetProtection algorithmName="SHA-512" hashValue="/ne5FDNzwpldlsxWd1WnrcIiSij8f9Y9YGKXlvWxcKmM6zWTgJEFZxO8VpskmQzsw+nAPx/kSBu9nIhPpCXUxg==" saltValue="raFnfmnpLaAjEW1YU8hqrA==" spinCount="100000" sheet="1" objects="1" scenarios="1" selectLockedCells="1" selectUnlockedCells="1"/>
  <mergeCells count="9">
    <mergeCell ref="E62:I62"/>
    <mergeCell ref="E58:I58"/>
    <mergeCell ref="E6:G6"/>
    <mergeCell ref="E54:I54"/>
    <mergeCell ref="M54:Q54"/>
    <mergeCell ref="E57:I57"/>
    <mergeCell ref="M57:Q57"/>
    <mergeCell ref="E38:F38"/>
    <mergeCell ref="M38:N38"/>
  </mergeCells>
  <hyperlinks>
    <hyperlink ref="A3" location="Intro!A1" display="Return to Intro tab" xr:uid="{02B82BFC-BC61-48BB-AC5D-F2B443CEB457}"/>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5DD25-3463-4FC8-A149-439D0FD4D5B6}">
  <sheetPr>
    <tabColor rgb="FFF3CF45"/>
  </sheetPr>
  <dimension ref="A1:AA96"/>
  <sheetViews>
    <sheetView showGridLines="0" zoomScaleNormal="100" workbookViewId="0">
      <selection activeCell="A2" sqref="A2"/>
    </sheetView>
  </sheetViews>
  <sheetFormatPr defaultColWidth="0" defaultRowHeight="13" zeroHeight="1" outlineLevelRow="1" x14ac:dyDescent="0.3"/>
  <cols>
    <col min="1" max="2" width="2.453125" style="8" customWidth="1"/>
    <col min="3" max="3" width="2.453125" style="32" customWidth="1"/>
    <col min="4" max="4" width="2.453125" style="8" customWidth="1"/>
    <col min="5" max="5" width="51.453125" style="8" bestFit="1" customWidth="1"/>
    <col min="6" max="6" width="12.54296875" style="41" bestFit="1" customWidth="1"/>
    <col min="7" max="7" width="7.81640625" style="8" bestFit="1" customWidth="1"/>
    <col min="8" max="8" width="5" style="8" customWidth="1"/>
    <col min="9" max="9" width="29.54296875" style="8" customWidth="1"/>
    <col min="10" max="10" width="30.453125" style="8" customWidth="1"/>
    <col min="11" max="11" width="29.54296875" style="4" customWidth="1"/>
    <col min="12" max="12" width="29.54296875" style="8" customWidth="1"/>
    <col min="13" max="13" width="3.453125" style="8" customWidth="1"/>
    <col min="14" max="14" width="17.453125" style="8" hidden="1" customWidth="1"/>
    <col min="15" max="15" width="10.54296875" style="41" hidden="1" customWidth="1"/>
    <col min="16" max="16" width="22.54296875" style="8" hidden="1" customWidth="1"/>
    <col min="17" max="17" width="14.453125" style="8" hidden="1" customWidth="1"/>
    <col min="18" max="19" width="2.453125" style="8" hidden="1" customWidth="1"/>
    <col min="20" max="20" width="2.453125" style="4" hidden="1" customWidth="1"/>
    <col min="21" max="21" width="2.453125" style="8" hidden="1" customWidth="1"/>
    <col min="22" max="22" width="11.453125" style="8" hidden="1" customWidth="1"/>
    <col min="23" max="23" width="17.453125" style="8" hidden="1" customWidth="1"/>
    <col min="24" max="24" width="10.54296875" style="41" hidden="1" customWidth="1"/>
    <col min="25" max="25" width="22.54296875" style="8" hidden="1" customWidth="1"/>
    <col min="26" max="26" width="4.453125" hidden="1" customWidth="1"/>
    <col min="27" max="27" width="4.453125" style="8" hidden="1" customWidth="1"/>
    <col min="28" max="16384" width="8.54296875" style="8" hidden="1"/>
  </cols>
  <sheetData>
    <row r="1" spans="1:26" s="13" customFormat="1" ht="17.5" x14ac:dyDescent="0.35">
      <c r="A1" s="11" t="str" cm="1">
        <f t="array" aca="1" ref="A1" ca="1">RIGHT(CELL("filename",A$2),LEN(CELL("filename",A$2))-FIND("]",CELL("filename",A$2)))</f>
        <v>Margin comparison</v>
      </c>
      <c r="B1" s="11"/>
      <c r="C1" s="11"/>
      <c r="D1" s="11"/>
      <c r="E1" s="11"/>
      <c r="F1" s="37"/>
      <c r="G1" s="11"/>
      <c r="H1" s="12"/>
      <c r="I1" s="11"/>
      <c r="J1" s="11"/>
      <c r="K1" s="11"/>
      <c r="L1" s="11"/>
      <c r="M1" s="11"/>
      <c r="N1" s="11"/>
      <c r="O1" s="37"/>
      <c r="P1" s="11"/>
      <c r="Q1" s="12"/>
      <c r="R1" s="11"/>
      <c r="S1" s="11"/>
      <c r="T1" s="11"/>
      <c r="U1" s="11"/>
      <c r="V1" s="11"/>
      <c r="W1" s="11"/>
      <c r="X1" s="37"/>
      <c r="Y1" s="11"/>
    </row>
    <row r="2" spans="1:26" s="1" customFormat="1" x14ac:dyDescent="0.3">
      <c r="A2" s="14"/>
      <c r="B2" s="14"/>
      <c r="C2" s="14"/>
      <c r="D2" s="14"/>
      <c r="E2" s="14"/>
      <c r="F2" s="38"/>
      <c r="G2" s="14"/>
      <c r="H2" s="14"/>
      <c r="I2" s="14"/>
      <c r="J2" s="14"/>
      <c r="K2" s="14"/>
      <c r="L2" s="14"/>
      <c r="M2" s="14"/>
      <c r="N2" s="14"/>
      <c r="O2" s="38"/>
      <c r="P2" s="14"/>
      <c r="Q2" s="14"/>
      <c r="R2" s="14"/>
      <c r="S2" s="14"/>
      <c r="T2" s="14"/>
      <c r="U2" s="14"/>
      <c r="V2" s="14"/>
      <c r="W2" s="14"/>
      <c r="X2" s="38"/>
      <c r="Y2" s="14"/>
    </row>
    <row r="3" spans="1:26" customFormat="1" x14ac:dyDescent="0.3">
      <c r="A3" s="31"/>
      <c r="C3" s="3"/>
      <c r="F3" s="39"/>
      <c r="O3" s="39"/>
      <c r="X3" s="39"/>
    </row>
    <row r="4" spans="1:26" ht="13.5" customHeight="1" x14ac:dyDescent="0.3">
      <c r="D4" s="32"/>
      <c r="E4" s="32"/>
      <c r="F4" s="40"/>
      <c r="G4" s="32"/>
      <c r="H4" s="32"/>
      <c r="I4" s="32"/>
      <c r="J4" s="32"/>
      <c r="N4" s="32"/>
      <c r="O4" s="40"/>
      <c r="P4" s="32"/>
      <c r="Q4" s="32"/>
      <c r="R4" s="32"/>
      <c r="S4" s="32"/>
      <c r="W4" s="32"/>
      <c r="X4" s="40"/>
      <c r="Y4" s="32"/>
    </row>
    <row r="5" spans="1:26" customFormat="1" x14ac:dyDescent="0.3">
      <c r="B5" s="15" t="s">
        <v>44</v>
      </c>
      <c r="C5" s="15"/>
      <c r="D5" s="15"/>
      <c r="E5" s="15"/>
      <c r="F5" s="37"/>
      <c r="G5" s="15"/>
      <c r="H5" s="15"/>
      <c r="I5" s="15"/>
      <c r="J5" s="15"/>
      <c r="K5" s="15"/>
      <c r="L5" s="15"/>
      <c r="M5" s="15"/>
      <c r="N5" s="15"/>
      <c r="O5" s="37"/>
      <c r="P5" s="15"/>
      <c r="Q5" s="15"/>
      <c r="R5" s="15"/>
      <c r="S5" s="15"/>
      <c r="T5" s="15"/>
      <c r="U5" s="15"/>
      <c r="V5" s="15"/>
      <c r="W5" s="15"/>
      <c r="X5" s="37"/>
      <c r="Y5" s="15"/>
    </row>
    <row r="6" spans="1:26" x14ac:dyDescent="0.3">
      <c r="D6" s="5" t="s">
        <v>60</v>
      </c>
    </row>
    <row r="7" spans="1:26" x14ac:dyDescent="0.3">
      <c r="C7" s="3"/>
    </row>
    <row r="8" spans="1:26" x14ac:dyDescent="0.3">
      <c r="B8" s="15" t="s">
        <v>73</v>
      </c>
      <c r="C8" s="15"/>
      <c r="D8" s="15"/>
      <c r="E8" s="15"/>
      <c r="F8" s="15"/>
      <c r="G8" s="15"/>
      <c r="H8" s="15"/>
      <c r="I8" s="144"/>
      <c r="J8" s="144"/>
      <c r="K8" s="144"/>
      <c r="L8" s="144"/>
      <c r="M8" s="91"/>
      <c r="O8" s="8"/>
      <c r="T8" s="8"/>
      <c r="X8" s="8"/>
      <c r="Z8" s="8"/>
    </row>
    <row r="9" spans="1:26" x14ac:dyDescent="0.3"/>
    <row r="10" spans="1:26" outlineLevel="1" x14ac:dyDescent="0.3">
      <c r="C10" s="32" t="s">
        <v>256</v>
      </c>
    </row>
    <row r="11" spans="1:26" outlineLevel="1" x14ac:dyDescent="0.3">
      <c r="D11" s="48" t="s">
        <v>257</v>
      </c>
      <c r="F11" s="44" t="s">
        <v>185</v>
      </c>
      <c r="G11" s="220">
        <f>Cockpit!I17</f>
        <v>0</v>
      </c>
      <c r="O11" s="44"/>
      <c r="P11" s="3"/>
      <c r="Q11" s="3"/>
      <c r="R11" s="3"/>
      <c r="S11" s="3"/>
      <c r="T11" s="3"/>
      <c r="U11" s="3"/>
      <c r="V11" s="3"/>
      <c r="W11" s="3"/>
      <c r="X11" s="3"/>
      <c r="Y11" s="3"/>
    </row>
    <row r="12" spans="1:26" outlineLevel="1" x14ac:dyDescent="0.3">
      <c r="D12" s="48" t="s">
        <v>258</v>
      </c>
      <c r="F12" s="44" t="s">
        <v>185</v>
      </c>
      <c r="G12" s="220">
        <f>Cockpit!I18</f>
        <v>0</v>
      </c>
      <c r="H12" s="34"/>
      <c r="M12" s="3"/>
      <c r="O12" s="44"/>
      <c r="P12" s="3"/>
      <c r="Q12" s="3"/>
      <c r="R12" s="3"/>
      <c r="S12" s="3"/>
      <c r="T12" s="3"/>
      <c r="U12" s="3"/>
      <c r="V12" s="3"/>
      <c r="W12" s="3"/>
      <c r="X12" s="3"/>
      <c r="Y12" s="3"/>
    </row>
    <row r="13" spans="1:26" outlineLevel="1" x14ac:dyDescent="0.3">
      <c r="D13" s="48"/>
      <c r="F13" s="44"/>
      <c r="G13" s="82"/>
      <c r="H13" s="34"/>
      <c r="M13" s="3"/>
      <c r="O13" s="44"/>
      <c r="P13" s="3"/>
      <c r="Q13" s="3"/>
      <c r="R13" s="3"/>
      <c r="S13" s="3"/>
      <c r="T13" s="3"/>
      <c r="U13" s="3"/>
      <c r="V13" s="3"/>
      <c r="W13" s="3"/>
      <c r="X13" s="3"/>
      <c r="Y13" s="3"/>
    </row>
    <row r="14" spans="1:26" outlineLevel="1" x14ac:dyDescent="0.3">
      <c r="D14" s="48" t="s">
        <v>259</v>
      </c>
      <c r="F14" s="44" t="s">
        <v>89</v>
      </c>
      <c r="G14" s="220" t="e">
        <f>Cockpit!I22</f>
        <v>#DIV/0!</v>
      </c>
      <c r="H14" s="34"/>
      <c r="M14" s="3"/>
      <c r="O14" s="44"/>
      <c r="P14" s="3"/>
      <c r="Q14" s="3"/>
      <c r="R14" s="3"/>
      <c r="S14" s="3"/>
      <c r="T14" s="3"/>
      <c r="U14" s="3"/>
      <c r="V14" s="3"/>
      <c r="W14" s="3"/>
      <c r="X14" s="3"/>
      <c r="Y14" s="3"/>
    </row>
    <row r="15" spans="1:26" outlineLevel="1" x14ac:dyDescent="0.3">
      <c r="D15" s="48" t="s">
        <v>260</v>
      </c>
      <c r="F15" s="44" t="s">
        <v>89</v>
      </c>
      <c r="G15" s="220" t="e">
        <f>Cockpit!I24</f>
        <v>#DIV/0!</v>
      </c>
      <c r="H15" s="34"/>
      <c r="M15" s="3"/>
      <c r="O15" s="44"/>
      <c r="P15" s="3"/>
      <c r="Q15" s="3"/>
      <c r="R15" s="3"/>
      <c r="S15" s="3"/>
      <c r="T15" s="3"/>
      <c r="U15" s="3"/>
      <c r="V15" s="3"/>
      <c r="W15" s="3"/>
      <c r="X15" s="3"/>
      <c r="Y15" s="3"/>
    </row>
    <row r="16" spans="1:26" outlineLevel="1" x14ac:dyDescent="0.3">
      <c r="D16" s="48"/>
      <c r="F16" s="44"/>
      <c r="G16" s="223"/>
      <c r="H16" s="34"/>
      <c r="M16" s="3"/>
      <c r="O16" s="44"/>
      <c r="P16" s="3"/>
      <c r="Q16" s="3"/>
      <c r="R16" s="3"/>
      <c r="S16" s="3"/>
      <c r="T16" s="3"/>
      <c r="U16" s="3"/>
      <c r="V16" s="3"/>
      <c r="W16" s="3"/>
      <c r="X16" s="3"/>
      <c r="Y16" s="3"/>
    </row>
    <row r="17" spans="1:26" outlineLevel="1" x14ac:dyDescent="0.3">
      <c r="D17" s="48" t="s">
        <v>192</v>
      </c>
      <c r="F17" s="44" t="s">
        <v>193</v>
      </c>
      <c r="G17" s="220">
        <f>Cockpit!I27</f>
        <v>0</v>
      </c>
      <c r="H17" s="34"/>
      <c r="M17" s="3"/>
      <c r="O17" s="44"/>
      <c r="P17" s="3"/>
      <c r="Q17" s="3"/>
      <c r="R17" s="3"/>
      <c r="S17" s="3"/>
      <c r="T17" s="3"/>
      <c r="U17" s="3"/>
      <c r="V17" s="3"/>
      <c r="W17" s="3"/>
      <c r="X17" s="3"/>
      <c r="Y17" s="3"/>
    </row>
    <row r="18" spans="1:26" outlineLevel="1" x14ac:dyDescent="0.3">
      <c r="D18" s="48" t="s">
        <v>194</v>
      </c>
      <c r="F18" s="44" t="s">
        <v>193</v>
      </c>
      <c r="G18" s="220">
        <f>Cockpit!I28</f>
        <v>0</v>
      </c>
      <c r="M18" s="3"/>
      <c r="O18" s="44"/>
      <c r="P18" s="3"/>
      <c r="Q18" s="3"/>
      <c r="R18" s="3"/>
      <c r="S18" s="3"/>
      <c r="T18" s="3"/>
      <c r="U18" s="3"/>
      <c r="V18" s="3"/>
      <c r="W18" s="3"/>
      <c r="X18" s="3"/>
      <c r="Y18" s="3"/>
    </row>
    <row r="19" spans="1:26" s="7" customFormat="1" outlineLevel="1" x14ac:dyDescent="0.3">
      <c r="A19" s="8"/>
      <c r="B19" s="8"/>
      <c r="C19" s="3"/>
      <c r="D19" s="48" t="s">
        <v>195</v>
      </c>
      <c r="E19" s="3"/>
      <c r="F19" s="44" t="s">
        <v>193</v>
      </c>
      <c r="G19" s="220">
        <f>Cockpit!I29</f>
        <v>0</v>
      </c>
      <c r="H19" s="3"/>
      <c r="I19" s="3"/>
      <c r="J19" s="3"/>
      <c r="K19" s="3"/>
      <c r="L19" s="3"/>
      <c r="M19" s="3"/>
      <c r="N19" s="3"/>
      <c r="O19" s="44"/>
      <c r="P19" s="3"/>
      <c r="Q19" s="3"/>
      <c r="R19" s="3"/>
      <c r="S19" s="3"/>
      <c r="T19" s="3"/>
      <c r="U19" s="3"/>
      <c r="V19" s="3"/>
      <c r="W19" s="3"/>
      <c r="X19" s="3"/>
      <c r="Y19" s="3"/>
      <c r="Z19"/>
    </row>
    <row r="20" spans="1:26" outlineLevel="1" x14ac:dyDescent="0.3">
      <c r="D20" s="8" t="s">
        <v>199</v>
      </c>
      <c r="F20" s="44" t="s">
        <v>198</v>
      </c>
      <c r="G20" s="247">
        <f>Cockpit!I41</f>
        <v>0</v>
      </c>
      <c r="M20" s="3"/>
      <c r="O20" s="44"/>
      <c r="P20" s="3"/>
      <c r="Q20" s="3"/>
      <c r="R20" s="3"/>
      <c r="S20" s="3"/>
      <c r="T20" s="3"/>
      <c r="U20" s="3"/>
      <c r="V20" s="3"/>
      <c r="W20" s="3"/>
      <c r="X20" s="3"/>
      <c r="Y20" s="3"/>
    </row>
    <row r="21" spans="1:26" outlineLevel="1" x14ac:dyDescent="0.3">
      <c r="F21" s="44"/>
      <c r="G21" s="224"/>
      <c r="H21" s="34"/>
      <c r="M21" s="3"/>
      <c r="O21" s="44"/>
      <c r="P21" s="3"/>
      <c r="Q21" s="3"/>
      <c r="R21" s="3"/>
      <c r="S21" s="3"/>
      <c r="T21" s="3"/>
      <c r="U21" s="3"/>
      <c r="V21" s="3"/>
      <c r="W21" s="3"/>
      <c r="X21" s="3"/>
      <c r="Y21" s="3"/>
    </row>
    <row r="22" spans="1:26" outlineLevel="1" x14ac:dyDescent="0.3">
      <c r="D22" s="8" t="s">
        <v>94</v>
      </c>
      <c r="F22" s="44" t="s">
        <v>95</v>
      </c>
      <c r="G22" s="220">
        <f>Cockpit!I32</f>
        <v>0</v>
      </c>
      <c r="H22" s="34"/>
      <c r="M22" s="3"/>
      <c r="O22" s="44"/>
      <c r="P22" s="3"/>
      <c r="Q22" s="3"/>
      <c r="R22" s="3"/>
      <c r="S22" s="3"/>
      <c r="T22" s="3"/>
      <c r="U22" s="3"/>
      <c r="V22" s="3"/>
      <c r="W22" s="3"/>
      <c r="X22" s="3"/>
      <c r="Y22" s="3"/>
    </row>
    <row r="23" spans="1:26" outlineLevel="1" x14ac:dyDescent="0.3">
      <c r="D23" s="8" t="s">
        <v>97</v>
      </c>
      <c r="F23" s="44" t="s">
        <v>95</v>
      </c>
      <c r="G23" s="245">
        <f>Cockpit!I33</f>
        <v>0</v>
      </c>
      <c r="H23" s="34"/>
      <c r="M23" s="3"/>
      <c r="O23" s="44"/>
      <c r="P23" s="3"/>
      <c r="Q23" s="3"/>
      <c r="R23" s="3"/>
      <c r="S23" s="3"/>
      <c r="T23" s="3"/>
      <c r="U23" s="3"/>
      <c r="V23" s="3"/>
      <c r="W23" s="3"/>
      <c r="X23" s="3"/>
      <c r="Y23" s="3"/>
    </row>
    <row r="24" spans="1:26" outlineLevel="1" x14ac:dyDescent="0.3">
      <c r="F24" s="44"/>
      <c r="G24" s="244"/>
      <c r="H24" s="34"/>
      <c r="M24" s="3"/>
      <c r="O24" s="44"/>
      <c r="P24" s="3"/>
      <c r="Q24" s="3"/>
      <c r="R24" s="3"/>
      <c r="S24" s="3"/>
      <c r="T24" s="3"/>
      <c r="U24" s="3"/>
      <c r="V24" s="3"/>
      <c r="W24" s="3"/>
      <c r="X24" s="3"/>
      <c r="Y24" s="3"/>
    </row>
    <row r="25" spans="1:26" outlineLevel="1" x14ac:dyDescent="0.3">
      <c r="D25" s="8" t="s">
        <v>261</v>
      </c>
      <c r="F25" s="44" t="s">
        <v>95</v>
      </c>
      <c r="G25" s="246">
        <f>G22/(1-$G$20)</f>
        <v>0</v>
      </c>
      <c r="H25" s="34"/>
      <c r="M25" s="3"/>
      <c r="O25" s="44"/>
      <c r="P25" s="3"/>
      <c r="Q25" s="3"/>
      <c r="R25" s="3"/>
      <c r="S25" s="3"/>
      <c r="T25" s="3"/>
      <c r="U25" s="3"/>
      <c r="V25" s="3"/>
      <c r="W25" s="3"/>
      <c r="X25" s="3"/>
      <c r="Y25" s="3"/>
    </row>
    <row r="26" spans="1:26" outlineLevel="1" x14ac:dyDescent="0.3">
      <c r="D26" s="8" t="s">
        <v>262</v>
      </c>
      <c r="F26" s="44" t="s">
        <v>95</v>
      </c>
      <c r="G26" s="246">
        <f>G23/(1-$G$20)</f>
        <v>0</v>
      </c>
      <c r="H26" s="34"/>
      <c r="M26" s="3"/>
      <c r="O26" s="44"/>
      <c r="P26" s="3"/>
      <c r="Q26" s="3"/>
      <c r="R26" s="3"/>
      <c r="S26" s="3"/>
      <c r="T26" s="3"/>
      <c r="U26" s="3"/>
      <c r="V26" s="3"/>
      <c r="W26" s="3"/>
      <c r="X26" s="3"/>
      <c r="Y26" s="3"/>
    </row>
    <row r="27" spans="1:26" outlineLevel="1" x14ac:dyDescent="0.3">
      <c r="F27" s="44"/>
      <c r="G27" s="224"/>
      <c r="H27" s="34"/>
      <c r="M27" s="3"/>
      <c r="O27" s="44"/>
      <c r="P27" s="3"/>
      <c r="Q27" s="3"/>
      <c r="R27" s="3"/>
      <c r="S27" s="3"/>
      <c r="T27" s="3"/>
      <c r="U27" s="3"/>
      <c r="V27" s="3"/>
      <c r="W27" s="3"/>
      <c r="X27" s="3"/>
      <c r="Y27" s="3"/>
    </row>
    <row r="28" spans="1:26" outlineLevel="1" x14ac:dyDescent="0.3">
      <c r="D28" s="8" t="s">
        <v>263</v>
      </c>
      <c r="F28" s="44" t="s">
        <v>95</v>
      </c>
      <c r="G28" s="220">
        <f>'Relevant starting point'!J55</f>
        <v>0</v>
      </c>
      <c r="H28" s="34"/>
      <c r="M28" s="3"/>
      <c r="O28" s="44"/>
      <c r="P28" s="3"/>
      <c r="Q28" s="3"/>
      <c r="R28" s="3"/>
      <c r="S28" s="3"/>
      <c r="T28" s="3"/>
      <c r="U28" s="3"/>
      <c r="V28" s="3"/>
      <c r="W28" s="3"/>
      <c r="X28" s="3"/>
      <c r="Y28" s="3"/>
    </row>
    <row r="29" spans="1:26" outlineLevel="1" x14ac:dyDescent="0.3">
      <c r="D29" s="8" t="s">
        <v>264</v>
      </c>
      <c r="F29" s="44" t="s">
        <v>95</v>
      </c>
      <c r="G29" s="245">
        <f>'Relevant starting point'!J56</f>
        <v>0</v>
      </c>
      <c r="H29" s="34"/>
      <c r="M29" s="3"/>
      <c r="O29" s="44"/>
      <c r="P29" s="3"/>
      <c r="Q29" s="3"/>
      <c r="R29" s="3"/>
      <c r="S29" s="3"/>
      <c r="T29" s="3"/>
      <c r="U29" s="3"/>
      <c r="V29" s="3"/>
      <c r="W29" s="3"/>
      <c r="X29" s="3"/>
      <c r="Y29" s="3"/>
    </row>
    <row r="30" spans="1:26" s="115" customFormat="1" outlineLevel="1" x14ac:dyDescent="0.3">
      <c r="C30" s="32"/>
      <c r="F30" s="129"/>
      <c r="G30" s="244"/>
      <c r="H30" s="243"/>
      <c r="K30" s="221"/>
      <c r="M30" s="3"/>
      <c r="O30" s="129"/>
      <c r="P30" s="3"/>
      <c r="Q30" s="3"/>
      <c r="R30" s="3"/>
      <c r="S30" s="3"/>
      <c r="T30" s="3"/>
      <c r="U30" s="3"/>
      <c r="V30" s="3"/>
      <c r="W30" s="3"/>
      <c r="X30" s="3"/>
      <c r="Y30" s="3"/>
      <c r="Z30" s="155"/>
    </row>
    <row r="31" spans="1:26" outlineLevel="1" x14ac:dyDescent="0.3">
      <c r="D31" s="8" t="s">
        <v>263</v>
      </c>
      <c r="F31" s="44" t="s">
        <v>95</v>
      </c>
      <c r="G31" s="242">
        <f>G28/(1-$G$20)</f>
        <v>0</v>
      </c>
      <c r="H31" s="34"/>
      <c r="L31" s="291"/>
      <c r="M31" s="3"/>
      <c r="O31" s="44"/>
      <c r="P31" s="3"/>
      <c r="Q31" s="3"/>
      <c r="R31" s="3"/>
      <c r="S31" s="3"/>
      <c r="T31" s="3"/>
      <c r="U31" s="3"/>
      <c r="V31" s="3"/>
      <c r="W31" s="3"/>
      <c r="X31" s="3"/>
      <c r="Y31" s="3"/>
    </row>
    <row r="32" spans="1:26" outlineLevel="1" x14ac:dyDescent="0.3">
      <c r="D32" s="8" t="s">
        <v>264</v>
      </c>
      <c r="F32" s="44" t="s">
        <v>95</v>
      </c>
      <c r="G32" s="242">
        <f>G29/(1-$G$20)</f>
        <v>0</v>
      </c>
      <c r="H32" s="34"/>
      <c r="M32" s="3"/>
      <c r="O32" s="44"/>
      <c r="P32" s="3"/>
      <c r="Q32" s="3"/>
      <c r="R32" s="3"/>
      <c r="S32" s="3"/>
      <c r="T32" s="3"/>
      <c r="U32" s="3"/>
      <c r="V32" s="3"/>
      <c r="W32" s="3"/>
      <c r="X32" s="3"/>
      <c r="Y32" s="3"/>
    </row>
    <row r="33" spans="1:26" outlineLevel="1" x14ac:dyDescent="0.3">
      <c r="D33" s="46"/>
      <c r="F33" s="44"/>
      <c r="G33" s="82"/>
      <c r="H33" s="34"/>
      <c r="M33" s="3"/>
      <c r="O33" s="44"/>
      <c r="P33" s="3"/>
      <c r="Q33" s="3"/>
      <c r="R33" s="3"/>
      <c r="S33" s="3"/>
      <c r="T33" s="3"/>
      <c r="U33" s="3"/>
      <c r="V33" s="3"/>
      <c r="W33" s="3"/>
      <c r="X33" s="3"/>
      <c r="Y33" s="3"/>
    </row>
    <row r="34" spans="1:26" customFormat="1" outlineLevel="1" x14ac:dyDescent="0.3">
      <c r="C34" s="32" t="s">
        <v>265</v>
      </c>
      <c r="F34" s="39"/>
      <c r="O34" s="39"/>
      <c r="X34" s="39"/>
    </row>
    <row r="35" spans="1:26" customFormat="1" outlineLevel="1" x14ac:dyDescent="0.3">
      <c r="E35" t="str">
        <f>Cockpit!E58</f>
        <v>Typical Site 1</v>
      </c>
      <c r="F35" s="39" t="s">
        <v>266</v>
      </c>
      <c r="G35" s="200">
        <f>Cockpit!I58</f>
        <v>100</v>
      </c>
      <c r="O35" s="39"/>
      <c r="X35" s="39"/>
    </row>
    <row r="36" spans="1:26" customFormat="1" outlineLevel="1" x14ac:dyDescent="0.3">
      <c r="E36" t="str">
        <f>Cockpit!E59</f>
        <v>Typical Site 2</v>
      </c>
      <c r="F36" s="39" t="s">
        <v>266</v>
      </c>
      <c r="G36" s="200">
        <f>Cockpit!I59</f>
        <v>200</v>
      </c>
      <c r="O36" s="39"/>
      <c r="X36" s="39"/>
    </row>
    <row r="37" spans="1:26" customFormat="1" outlineLevel="1" x14ac:dyDescent="0.3">
      <c r="E37" t="str">
        <f>Cockpit!E60</f>
        <v>Typical Site 3</v>
      </c>
      <c r="F37" s="39" t="s">
        <v>266</v>
      </c>
      <c r="G37" s="200">
        <f>Cockpit!I60</f>
        <v>350</v>
      </c>
      <c r="O37" s="39"/>
      <c r="X37" s="39"/>
    </row>
    <row r="38" spans="1:26" customFormat="1" outlineLevel="1" x14ac:dyDescent="0.3">
      <c r="F38" s="39"/>
      <c r="O38" s="39"/>
      <c r="X38" s="39"/>
    </row>
    <row r="39" spans="1:26" x14ac:dyDescent="0.3">
      <c r="B39" s="15" t="s">
        <v>267</v>
      </c>
      <c r="C39" s="15"/>
      <c r="D39" s="15"/>
      <c r="E39" s="15"/>
      <c r="F39" s="37"/>
      <c r="G39" s="15"/>
      <c r="H39" s="15"/>
      <c r="I39" s="15"/>
      <c r="J39" s="15"/>
      <c r="K39" s="15"/>
      <c r="L39" s="15"/>
      <c r="M39" s="15"/>
      <c r="N39" s="15"/>
      <c r="O39" s="37"/>
      <c r="P39" s="15"/>
      <c r="Q39" s="15"/>
      <c r="R39" s="15"/>
      <c r="S39" s="15"/>
      <c r="T39" s="15"/>
      <c r="U39" s="15"/>
      <c r="V39" s="15"/>
      <c r="W39" s="15"/>
      <c r="X39" s="37"/>
      <c r="Y39" s="15"/>
    </row>
    <row r="40" spans="1:26" x14ac:dyDescent="0.3"/>
    <row r="41" spans="1:26" x14ac:dyDescent="0.3">
      <c r="C41" s="8"/>
      <c r="D41" s="26"/>
      <c r="F41" s="8"/>
      <c r="H41" s="41"/>
      <c r="I41" s="161" t="s">
        <v>268</v>
      </c>
      <c r="J41" s="162" t="s">
        <v>216</v>
      </c>
      <c r="K41" s="162" t="s">
        <v>218</v>
      </c>
      <c r="L41" s="162" t="s">
        <v>219</v>
      </c>
      <c r="O41" s="8"/>
      <c r="T41" s="8"/>
      <c r="X41" s="8"/>
      <c r="Z41" s="8"/>
    </row>
    <row r="42" spans="1:26" x14ac:dyDescent="0.3">
      <c r="C42" s="106" t="s">
        <v>269</v>
      </c>
      <c r="D42" s="106"/>
      <c r="E42" s="106"/>
      <c r="F42" s="106"/>
      <c r="G42" s="106"/>
      <c r="H42" s="106"/>
      <c r="I42" s="106"/>
      <c r="J42" s="159"/>
      <c r="K42" s="159"/>
      <c r="L42" s="159"/>
      <c r="M42" s="55"/>
      <c r="O42" s="8"/>
      <c r="T42" s="8"/>
      <c r="X42" s="8"/>
      <c r="Z42" s="8"/>
    </row>
    <row r="43" spans="1:26" s="7" customFormat="1" x14ac:dyDescent="0.3">
      <c r="A43" s="55"/>
      <c r="B43" s="8"/>
      <c r="C43" s="8"/>
      <c r="D43" s="33"/>
      <c r="E43" s="3"/>
      <c r="F43" s="3"/>
      <c r="G43" s="3"/>
      <c r="H43" s="42"/>
      <c r="I43" s="145"/>
      <c r="J43" s="145"/>
      <c r="K43" s="146"/>
      <c r="L43" s="146"/>
      <c r="M43" s="108"/>
    </row>
    <row r="44" spans="1:26" s="7" customFormat="1" x14ac:dyDescent="0.3">
      <c r="A44" s="55"/>
      <c r="B44" s="8"/>
      <c r="C44" s="8"/>
      <c r="D44" s="26"/>
      <c r="E44" t="s">
        <v>101</v>
      </c>
      <c r="F44" s="8"/>
      <c r="G44" s="42" t="s">
        <v>102</v>
      </c>
      <c r="H44" s="42"/>
      <c r="I44" s="168">
        <f>IF($G$11="Yes",'Bulk Supply Tariffs'!J44,0)</f>
        <v>0</v>
      </c>
      <c r="J44" s="168">
        <f>IF($G$11="Yes",'Bulk Supply Tariffs'!K44,0)</f>
        <v>0</v>
      </c>
      <c r="K44" s="168">
        <f>IF($G$11="Yes",'Bulk Supply Tariffs'!L44,0)</f>
        <v>0</v>
      </c>
      <c r="L44" s="168">
        <f>IF($G$11="Yes",'Bulk Supply Tariffs'!M44,0)</f>
        <v>0</v>
      </c>
      <c r="M44" s="108"/>
    </row>
    <row r="45" spans="1:26" s="7" customFormat="1" x14ac:dyDescent="0.3">
      <c r="A45" s="55"/>
      <c r="B45" s="8"/>
      <c r="C45" s="8"/>
      <c r="D45" s="26"/>
      <c r="E45" t="s">
        <v>270</v>
      </c>
      <c r="F45" s="8"/>
      <c r="G45" s="42" t="s">
        <v>102</v>
      </c>
      <c r="H45" s="42"/>
      <c r="I45" s="168" t="e">
        <f>'Bulk Supply Tariffs'!J21</f>
        <v>#DIV/0!</v>
      </c>
      <c r="J45" s="168" t="e">
        <f>'Bulk Supply Tariffs'!K21</f>
        <v>#DIV/0!</v>
      </c>
      <c r="K45" s="168" t="e">
        <f>'Bulk Supply Tariffs'!L21</f>
        <v>#DIV/0!</v>
      </c>
      <c r="L45" s="168" t="e">
        <f>'Bulk Supply Tariffs'!M21</f>
        <v>#DIV/0!</v>
      </c>
      <c r="M45" s="108"/>
    </row>
    <row r="46" spans="1:26" s="7" customFormat="1" x14ac:dyDescent="0.3">
      <c r="A46" s="55"/>
      <c r="B46" s="8"/>
      <c r="C46" s="8"/>
      <c r="D46" s="26"/>
      <c r="E46" t="s">
        <v>105</v>
      </c>
      <c r="F46" s="8"/>
      <c r="G46" s="42" t="s">
        <v>230</v>
      </c>
      <c r="H46" s="42"/>
      <c r="I46" s="168">
        <f>IF($G$11="Yes",(IF($G$17&gt;0,'Relevant starting point'!$J$33,0)),0)</f>
        <v>0</v>
      </c>
      <c r="J46" s="168">
        <f>IF($G$11="Yes",(IF($G$17&gt;0,'Relevant starting point'!$J$33,0)),0)</f>
        <v>0</v>
      </c>
      <c r="K46" s="168">
        <f>IF($G$11="Yes",(IF($G$17&gt;0,'Relevant starting point'!$J$33,0)),0)</f>
        <v>0</v>
      </c>
      <c r="L46" s="168">
        <f>IF($G$11="Yes",(IF($G$17&gt;0,'Relevant starting point'!$J$33,0)),0)</f>
        <v>0</v>
      </c>
      <c r="M46" s="108"/>
    </row>
    <row r="47" spans="1:26" x14ac:dyDescent="0.3">
      <c r="C47" s="8"/>
      <c r="D47" s="26"/>
      <c r="E47" t="s">
        <v>271</v>
      </c>
      <c r="F47" s="8"/>
      <c r="G47" s="42" t="s">
        <v>230</v>
      </c>
      <c r="H47" s="41"/>
      <c r="I47" s="168" t="e">
        <f>'Bulk Supply Tariffs'!J45-I46</f>
        <v>#DIV/0!</v>
      </c>
      <c r="J47" s="168">
        <f>'Bulk Supply Tariffs'!K45-J46</f>
        <v>-47.603335860579364</v>
      </c>
      <c r="K47" s="168">
        <f>'Bulk Supply Tariffs'!L45-K46</f>
        <v>-46.847464441771315</v>
      </c>
      <c r="L47" s="168">
        <f>'Bulk Supply Tariffs'!M45-L46</f>
        <v>-44.103618601851494</v>
      </c>
      <c r="M47" s="55"/>
      <c r="O47" s="8"/>
      <c r="T47" s="8"/>
      <c r="X47" s="8"/>
      <c r="Z47" s="8"/>
    </row>
    <row r="48" spans="1:26" x14ac:dyDescent="0.3">
      <c r="A48" s="55"/>
      <c r="C48" s="8"/>
      <c r="D48" s="26"/>
      <c r="E48" s="215" t="s">
        <v>272</v>
      </c>
      <c r="F48" s="241"/>
      <c r="G48" s="42" t="s">
        <v>110</v>
      </c>
      <c r="H48" s="240"/>
      <c r="I48" s="238" t="e">
        <f>((($G$17*$G$22+$G$18*$G$23)*$I45)/100)+$I46*$G$17</f>
        <v>#DIV/0!</v>
      </c>
      <c r="J48" s="238" t="e">
        <f>((($G$17*$G$22+$G$18*$G$23)*$J45)/100)+$J46*$G$17</f>
        <v>#DIV/0!</v>
      </c>
      <c r="K48" s="238" t="e">
        <f>((($G$17*$G$22+$G$18*$G$23)*$K45)/100)+$K46*$G$17</f>
        <v>#DIV/0!</v>
      </c>
      <c r="L48" s="238" t="e">
        <f>((($G$17*$G$22+$G$18*$G$23)*$L45)/100)+$L46*$G$17</f>
        <v>#DIV/0!</v>
      </c>
      <c r="M48" s="55"/>
      <c r="O48" s="8"/>
      <c r="T48" s="8"/>
      <c r="X48" s="8"/>
      <c r="Z48" s="8"/>
    </row>
    <row r="49" spans="1:26" s="7" customFormat="1" x14ac:dyDescent="0.3">
      <c r="A49" s="55"/>
      <c r="B49" s="8"/>
      <c r="C49" s="8"/>
      <c r="D49" s="33"/>
      <c r="E49" t="s">
        <v>111</v>
      </c>
      <c r="F49" s="8"/>
      <c r="G49" s="42" t="s">
        <v>110</v>
      </c>
      <c r="H49" s="42"/>
      <c r="I49" s="121">
        <f>IFERROR(-I47*($G$17+$G$18),0)</f>
        <v>0</v>
      </c>
      <c r="J49" s="121">
        <f t="shared" ref="J49:L49" si="0">IFERROR(-J47*($G$17+$G$18),0)</f>
        <v>0</v>
      </c>
      <c r="K49" s="121">
        <f t="shared" si="0"/>
        <v>0</v>
      </c>
      <c r="L49" s="121">
        <f t="shared" si="0"/>
        <v>0</v>
      </c>
      <c r="M49" s="108"/>
    </row>
    <row r="50" spans="1:26" s="7" customFormat="1" x14ac:dyDescent="0.3">
      <c r="A50" s="55"/>
      <c r="B50" s="8"/>
      <c r="C50" s="8"/>
      <c r="D50" s="26"/>
      <c r="E50" s="215" t="s">
        <v>273</v>
      </c>
      <c r="F50" s="48"/>
      <c r="G50" s="42" t="s">
        <v>110</v>
      </c>
      <c r="H50" s="239"/>
      <c r="I50" s="238" t="e">
        <f>((($G$17*$G$25+$G$18*$G$26)*I44)/100)+(I47*($G$17+$G$18)+(I46*$G$17))</f>
        <v>#DIV/0!</v>
      </c>
      <c r="J50" s="238">
        <f>((($G$17*$G$25+$G$18*$G$26)*J44)/100)+(J47*($G$17+$G$18)+(J46*$G$17))</f>
        <v>0</v>
      </c>
      <c r="K50" s="238">
        <f t="shared" ref="K50:L50" si="1">((($G$17*$G$25+$G$18*$G$26)*K44)/100)+(K47*($G$17+$G$18)+(K46*$G$17))</f>
        <v>0</v>
      </c>
      <c r="L50" s="238">
        <f t="shared" si="1"/>
        <v>0</v>
      </c>
      <c r="M50" s="108"/>
    </row>
    <row r="51" spans="1:26" s="7" customFormat="1" x14ac:dyDescent="0.3">
      <c r="A51" s="55"/>
      <c r="B51" s="8"/>
      <c r="C51" s="8"/>
      <c r="D51" s="26"/>
      <c r="E51" t="s">
        <v>113</v>
      </c>
      <c r="F51" s="8"/>
      <c r="G51" s="42" t="s">
        <v>230</v>
      </c>
      <c r="H51" s="41"/>
      <c r="I51" s="121">
        <f>IFERROR(I50/($G$17*$G$22+$G$18*$G$23)*100,0)</f>
        <v>0</v>
      </c>
      <c r="J51" s="121">
        <f>IFERROR(J50/($G$17*$G$22+$G$18*$G$23)*100,0)</f>
        <v>0</v>
      </c>
      <c r="K51" s="121">
        <f>IFERROR(K50/($G$17*$G$22+$G$18*$G$23)*100,0)</f>
        <v>0</v>
      </c>
      <c r="L51" s="121">
        <f>IFERROR(L50/($G$17*$G$22+$G$18*$G$23)*100,0)</f>
        <v>0</v>
      </c>
      <c r="M51" s="108"/>
    </row>
    <row r="52" spans="1:26" s="7" customFormat="1" x14ac:dyDescent="0.3">
      <c r="A52" s="55"/>
      <c r="B52" s="8"/>
      <c r="C52" s="8"/>
      <c r="D52" s="26"/>
      <c r="E52" s="3"/>
      <c r="F52" s="3"/>
      <c r="G52" s="3"/>
      <c r="H52" s="42"/>
      <c r="I52" s="145"/>
      <c r="J52" s="145"/>
      <c r="K52" s="146"/>
      <c r="L52" s="146"/>
      <c r="M52" s="108"/>
    </row>
    <row r="53" spans="1:26" s="7" customFormat="1" x14ac:dyDescent="0.3">
      <c r="A53" s="55"/>
      <c r="B53" s="8"/>
      <c r="C53" s="8"/>
      <c r="D53" s="26"/>
      <c r="E53" s="30" t="s">
        <v>274</v>
      </c>
      <c r="F53" s="8"/>
      <c r="G53" s="42" t="s">
        <v>198</v>
      </c>
      <c r="H53" s="41"/>
      <c r="I53" s="274">
        <f>IFERROR((I50-I48)/I48,0)</f>
        <v>0</v>
      </c>
      <c r="J53" s="274">
        <f>IFERROR((J50-J48)/J48,0)</f>
        <v>0</v>
      </c>
      <c r="K53" s="274">
        <f>IFERROR((K50-K48)/K48,0)</f>
        <v>0</v>
      </c>
      <c r="L53" s="274">
        <f>IFERROR((L50-L48)/L48,0)</f>
        <v>0</v>
      </c>
      <c r="M53" s="108"/>
    </row>
    <row r="54" spans="1:26" s="7" customFormat="1" x14ac:dyDescent="0.3">
      <c r="A54" s="55"/>
      <c r="B54" s="8"/>
      <c r="C54" s="8"/>
      <c r="D54" s="26"/>
      <c r="E54" s="3"/>
      <c r="F54" s="3"/>
      <c r="G54" s="3"/>
      <c r="H54" s="42"/>
      <c r="I54" s="145"/>
      <c r="J54" s="145"/>
      <c r="K54" s="146"/>
      <c r="L54" s="146"/>
      <c r="M54" s="108"/>
    </row>
    <row r="55" spans="1:26" x14ac:dyDescent="0.3">
      <c r="C55" s="106" t="s">
        <v>275</v>
      </c>
      <c r="D55" s="106"/>
      <c r="E55" s="106"/>
      <c r="F55" s="106"/>
      <c r="G55" s="106"/>
      <c r="H55" s="106"/>
      <c r="I55" s="159"/>
      <c r="J55" s="159"/>
      <c r="K55" s="159"/>
      <c r="L55" s="159"/>
      <c r="M55" s="55"/>
      <c r="O55" s="8"/>
      <c r="T55" s="8"/>
      <c r="X55" s="8"/>
      <c r="Z55" s="8"/>
    </row>
    <row r="56" spans="1:26" s="7" customFormat="1" x14ac:dyDescent="0.3">
      <c r="A56" s="55"/>
      <c r="B56" s="8"/>
      <c r="C56" s="8"/>
      <c r="D56" s="33"/>
      <c r="E56" s="3"/>
      <c r="F56" s="3"/>
      <c r="G56" s="3"/>
      <c r="H56" s="42"/>
      <c r="I56" s="145"/>
      <c r="J56" s="145"/>
      <c r="K56" s="146"/>
      <c r="L56" s="146"/>
      <c r="M56" s="108"/>
    </row>
    <row r="57" spans="1:26" s="7" customFormat="1" x14ac:dyDescent="0.3">
      <c r="A57" s="55"/>
      <c r="B57" s="8"/>
      <c r="C57" s="8"/>
      <c r="D57" s="26"/>
      <c r="E57" t="s">
        <v>276</v>
      </c>
      <c r="F57" s="8"/>
      <c r="G57" s="42" t="s">
        <v>102</v>
      </c>
      <c r="H57" s="42"/>
      <c r="I57" s="168">
        <f>IF($G$12="Yes",'Bulk Supply Tariffs'!J48,0)</f>
        <v>0</v>
      </c>
      <c r="J57" s="168">
        <f>IF($G$12="Yes",'Bulk Supply Tariffs'!K48,0)</f>
        <v>0</v>
      </c>
      <c r="K57" s="168">
        <f>IF($G$12="Yes",'Bulk Supply Tariffs'!L48,0)</f>
        <v>0</v>
      </c>
      <c r="L57" s="168">
        <f>IF($G$12="Yes",'Bulk Supply Tariffs'!M48,0)</f>
        <v>0</v>
      </c>
      <c r="M57" s="108"/>
    </row>
    <row r="58" spans="1:26" s="7" customFormat="1" x14ac:dyDescent="0.3">
      <c r="A58" s="55"/>
      <c r="B58" s="8"/>
      <c r="C58" s="8"/>
      <c r="D58" s="26"/>
      <c r="E58" t="s">
        <v>277</v>
      </c>
      <c r="F58" s="8"/>
      <c r="G58" s="42" t="s">
        <v>102</v>
      </c>
      <c r="H58" s="42"/>
      <c r="I58" s="168">
        <f>IF($G$12="Yes",'Bulk Supply Tariffs'!J33,0)</f>
        <v>0</v>
      </c>
      <c r="J58" s="168">
        <f>IF($G$12="Yes",'Bulk Supply Tariffs'!K33,0)</f>
        <v>0</v>
      </c>
      <c r="K58" s="168">
        <f>IF($G$12="Yes",'Bulk Supply Tariffs'!L33,0)</f>
        <v>0</v>
      </c>
      <c r="L58" s="168">
        <f>IF($G$12="Yes",'Bulk Supply Tariffs'!M33,0)</f>
        <v>0</v>
      </c>
      <c r="M58" s="108"/>
    </row>
    <row r="59" spans="1:26" s="7" customFormat="1" x14ac:dyDescent="0.3">
      <c r="A59" s="55"/>
      <c r="B59" s="8"/>
      <c r="C59" s="8"/>
      <c r="D59" s="26"/>
      <c r="E59" t="s">
        <v>119</v>
      </c>
      <c r="F59" s="8"/>
      <c r="G59" s="42" t="s">
        <v>230</v>
      </c>
      <c r="H59" s="42"/>
      <c r="I59" s="168">
        <f>IFERROR(-IF($G$12="Yes",'Avoided Operating Costs'!L$102+'Avoided Capital Maintenance'!J$73,0),0)</f>
        <v>0</v>
      </c>
      <c r="J59" s="168">
        <f>IFERROR(-IF($G$12="Yes",'Avoided Operating Costs'!M$102+'Avoided Capital Maintenance'!K$73,0),0)</f>
        <v>0</v>
      </c>
      <c r="K59" s="168">
        <f>IFERROR(-IF($G$12="Yes",'Avoided Operating Costs'!N$102+'Avoided Capital Maintenance'!L$73,0),0)</f>
        <v>0</v>
      </c>
      <c r="L59" s="168">
        <f>IFERROR(-IF($G$12="Yes",'Avoided Operating Costs'!O$102+'Avoided Capital Maintenance'!M$73,0),0)</f>
        <v>0</v>
      </c>
      <c r="M59" s="108"/>
    </row>
    <row r="60" spans="1:26" x14ac:dyDescent="0.3">
      <c r="C60" s="8"/>
      <c r="D60" s="26"/>
      <c r="E60" t="s">
        <v>272</v>
      </c>
      <c r="F60" s="8"/>
      <c r="G60" s="42" t="s">
        <v>110</v>
      </c>
      <c r="H60" s="41"/>
      <c r="I60" s="121">
        <f>((($G$17*$G$28+$G$18*$G$29)*I$58)/100)</f>
        <v>0</v>
      </c>
      <c r="J60" s="121">
        <f>((($G$17*$G$28+$G$18*$G$29)*J$58)/100)</f>
        <v>0</v>
      </c>
      <c r="K60" s="121">
        <f>((($G$17*$G$28+$G$18*$G$29)*K$58)/100)</f>
        <v>0</v>
      </c>
      <c r="L60" s="121">
        <f>((($G$17*$G$28+$G$18*$G$29)*L$58)/100)</f>
        <v>0</v>
      </c>
      <c r="M60" s="55"/>
      <c r="O60" s="8"/>
      <c r="T60" s="8"/>
      <c r="X60" s="8"/>
      <c r="Z60" s="8"/>
    </row>
    <row r="61" spans="1:26" x14ac:dyDescent="0.3">
      <c r="A61" s="55"/>
      <c r="C61" s="8"/>
      <c r="D61" s="26"/>
      <c r="E61" t="s">
        <v>120</v>
      </c>
      <c r="F61" s="3"/>
      <c r="G61" s="42" t="s">
        <v>110</v>
      </c>
      <c r="H61" s="42"/>
      <c r="I61" s="121">
        <f>IFERROR(-I59*($G$17+$G$18),"")</f>
        <v>0</v>
      </c>
      <c r="J61" s="121">
        <f>IFERROR(-J59*($G$17+$G$18),"")</f>
        <v>0</v>
      </c>
      <c r="K61" s="121">
        <f>IFERROR(-K59*($G$17+$G$18),"")</f>
        <v>0</v>
      </c>
      <c r="L61" s="121">
        <f>IFERROR(-L59*($G$17+$G$18),"")</f>
        <v>0</v>
      </c>
      <c r="M61" s="55"/>
      <c r="O61" s="8"/>
      <c r="T61" s="8"/>
      <c r="X61" s="8"/>
      <c r="Z61" s="8"/>
    </row>
    <row r="62" spans="1:26" s="7" customFormat="1" x14ac:dyDescent="0.3">
      <c r="A62" s="55"/>
      <c r="B62" s="8"/>
      <c r="C62" s="8"/>
      <c r="D62" s="33"/>
      <c r="E62" t="s">
        <v>273</v>
      </c>
      <c r="F62" s="8"/>
      <c r="G62" s="42" t="s">
        <v>230</v>
      </c>
      <c r="H62" s="42"/>
      <c r="I62" s="121">
        <f>((($G$17*$G$31+$G$18*$G$32)*I57)/100)+I59*($G$17+$G$18)</f>
        <v>0</v>
      </c>
      <c r="J62" s="121">
        <f>((($G$17*$G$31+$G$18*$G$32)*J57)/100)+J59*($G$17+$G$18)</f>
        <v>0</v>
      </c>
      <c r="K62" s="121">
        <f>((($G$17*$G$31+$G$18*$G$32)*K57)/100)+K59*($G$17+$G$18)</f>
        <v>0</v>
      </c>
      <c r="L62" s="121">
        <f>((($G$17*$G$31+$G$18*$G$32)*L57)/100)+L59*($G$17+$G$18)</f>
        <v>0</v>
      </c>
      <c r="M62" s="108"/>
    </row>
    <row r="63" spans="1:26" s="7" customFormat="1" x14ac:dyDescent="0.3">
      <c r="A63" s="55"/>
      <c r="B63" s="8"/>
      <c r="C63" s="8"/>
      <c r="D63" s="26"/>
      <c r="E63" t="s">
        <v>122</v>
      </c>
      <c r="F63" s="8"/>
      <c r="G63" s="42" t="s">
        <v>230</v>
      </c>
      <c r="H63" s="41"/>
      <c r="I63" s="121" t="str">
        <f>IFERROR(I62/($G$17*$G$22+$G$18*$G$23)*100,"")</f>
        <v/>
      </c>
      <c r="J63" s="121" t="str">
        <f>IFERROR(J62/($G$17*$G$22+$G$18*$G$23)*100,"")</f>
        <v/>
      </c>
      <c r="K63" s="121" t="str">
        <f>IFERROR(K62/($G$17*$G$22+$G$18*$G$23)*100,"")</f>
        <v/>
      </c>
      <c r="L63" s="121" t="str">
        <f>IFERROR(L62/($G$17*$G$22+$G$18*$G$23)*100,"")</f>
        <v/>
      </c>
      <c r="M63" s="108"/>
    </row>
    <row r="64" spans="1:26" s="7" customFormat="1" x14ac:dyDescent="0.3">
      <c r="A64" s="55"/>
      <c r="B64" s="8"/>
      <c r="C64" s="8"/>
      <c r="D64" s="26"/>
      <c r="E64" s="3"/>
      <c r="F64" s="3"/>
      <c r="G64" s="3"/>
      <c r="H64" s="42"/>
      <c r="I64" s="145"/>
      <c r="J64" s="145"/>
      <c r="K64" s="146"/>
      <c r="L64" s="146"/>
      <c r="M64" s="108"/>
    </row>
    <row r="65" spans="1:26" s="7" customFormat="1" x14ac:dyDescent="0.3">
      <c r="A65" s="55"/>
      <c r="B65" s="8"/>
      <c r="C65" s="8"/>
      <c r="D65" s="26"/>
      <c r="E65" s="30" t="s">
        <v>274</v>
      </c>
      <c r="F65" s="8"/>
      <c r="G65" s="42" t="s">
        <v>198</v>
      </c>
      <c r="H65" s="41"/>
      <c r="I65" s="274">
        <f>IFERROR((I62-I60)/I60,0)</f>
        <v>0</v>
      </c>
      <c r="J65" s="274">
        <f>IFERROR((J62-J60)/J60,0)</f>
        <v>0</v>
      </c>
      <c r="K65" s="274">
        <f>IFERROR((K62-K60)/K60,0)</f>
        <v>0</v>
      </c>
      <c r="L65" s="274">
        <f>IFERROR((L62-L60)/L60,0)</f>
        <v>0</v>
      </c>
      <c r="M65" s="108"/>
    </row>
    <row r="66" spans="1:26" s="7" customFormat="1" x14ac:dyDescent="0.3">
      <c r="A66" s="55"/>
      <c r="B66" s="8"/>
      <c r="C66" s="8"/>
      <c r="D66" s="26"/>
      <c r="E66" s="3"/>
      <c r="F66" s="3"/>
      <c r="G66" s="3"/>
      <c r="H66" s="42"/>
      <c r="I66" s="145"/>
      <c r="J66" s="145"/>
      <c r="K66" s="146"/>
      <c r="L66" s="146"/>
      <c r="M66" s="108"/>
    </row>
    <row r="67" spans="1:26" x14ac:dyDescent="0.3">
      <c r="B67" s="15" t="s">
        <v>278</v>
      </c>
      <c r="C67" s="15"/>
      <c r="D67" s="15"/>
      <c r="E67" s="15"/>
      <c r="F67" s="37"/>
      <c r="G67" s="15"/>
      <c r="H67" s="15"/>
      <c r="I67" s="15"/>
      <c r="J67" s="15"/>
      <c r="K67" s="15"/>
      <c r="L67" s="15"/>
      <c r="M67" s="15"/>
      <c r="N67" s="15"/>
      <c r="O67" s="37"/>
      <c r="P67" s="15"/>
      <c r="Q67" s="15"/>
      <c r="R67" s="15"/>
      <c r="S67" s="15"/>
      <c r="T67" s="15"/>
      <c r="U67" s="15"/>
      <c r="V67" s="15"/>
      <c r="W67" s="15"/>
      <c r="X67" s="37"/>
      <c r="Y67" s="15"/>
    </row>
    <row r="68" spans="1:26" s="7" customFormat="1" x14ac:dyDescent="0.3">
      <c r="A68" s="8"/>
      <c r="B68" s="8"/>
      <c r="C68" s="3"/>
      <c r="D68" s="3"/>
      <c r="E68" s="3"/>
      <c r="F68" s="42"/>
      <c r="G68" s="3"/>
      <c r="H68" s="3"/>
      <c r="I68" s="3"/>
      <c r="J68" s="3"/>
      <c r="K68" s="3"/>
      <c r="L68" s="33"/>
      <c r="M68" s="3"/>
      <c r="N68" s="3"/>
      <c r="O68" s="42"/>
      <c r="P68" s="3"/>
      <c r="Q68" s="3"/>
      <c r="R68" s="3"/>
      <c r="S68" s="3"/>
      <c r="T68" s="3"/>
      <c r="U68" s="33"/>
      <c r="V68" s="3"/>
      <c r="W68" s="3"/>
      <c r="X68" s="42"/>
      <c r="Y68" s="3"/>
      <c r="Z68"/>
    </row>
    <row r="69" spans="1:26" x14ac:dyDescent="0.3">
      <c r="C69" s="8"/>
      <c r="D69" s="26"/>
      <c r="F69" s="8"/>
      <c r="H69" s="41"/>
      <c r="I69" s="162" t="s">
        <v>279</v>
      </c>
      <c r="J69" s="162" t="s">
        <v>280</v>
      </c>
      <c r="K69" s="162" t="s">
        <v>279</v>
      </c>
      <c r="O69" s="8"/>
      <c r="T69" s="8"/>
      <c r="X69" s="8"/>
      <c r="Z69" s="8"/>
    </row>
    <row r="70" spans="1:26" x14ac:dyDescent="0.3">
      <c r="C70" s="106" t="s">
        <v>269</v>
      </c>
      <c r="D70" s="106"/>
      <c r="E70" s="106"/>
      <c r="F70" s="106"/>
      <c r="G70" s="106"/>
      <c r="H70" s="106"/>
      <c r="I70" s="159"/>
      <c r="J70" s="159"/>
      <c r="K70" s="159"/>
      <c r="M70" s="55"/>
      <c r="O70" s="8"/>
      <c r="T70" s="8"/>
      <c r="X70" s="8"/>
      <c r="Z70" s="8"/>
    </row>
    <row r="71" spans="1:26" s="7" customFormat="1" x14ac:dyDescent="0.3">
      <c r="A71" s="55"/>
      <c r="B71" s="8"/>
      <c r="C71" s="8"/>
      <c r="D71" s="33"/>
      <c r="E71" s="3"/>
      <c r="F71" s="3"/>
      <c r="G71" s="3"/>
      <c r="H71" s="42"/>
      <c r="I71" s="145"/>
      <c r="J71" s="146"/>
      <c r="K71" s="145"/>
      <c r="M71" s="108"/>
    </row>
    <row r="72" spans="1:26" s="7" customFormat="1" x14ac:dyDescent="0.3">
      <c r="A72" s="55"/>
      <c r="B72" s="8"/>
      <c r="C72" s="8"/>
      <c r="D72" s="26"/>
      <c r="E72" t="s">
        <v>101</v>
      </c>
      <c r="F72" s="8"/>
      <c r="G72" s="42" t="s">
        <v>102</v>
      </c>
      <c r="H72" s="42"/>
      <c r="I72" s="168">
        <f t="shared" ref="I72:I79" si="2">IF($G$19&lt;=$G$35,J44,IF($G$19&lt;=$G$36,K44,IF($G$19&lt;=$G$37,L44,I44)))</f>
        <v>0</v>
      </c>
      <c r="J72" s="185" t="str">
        <f t="shared" ref="J72:J79" si="3">IFERROR(I72/I44-1,"-")</f>
        <v>-</v>
      </c>
      <c r="K72" s="168"/>
      <c r="M72" s="108"/>
    </row>
    <row r="73" spans="1:26" s="7" customFormat="1" x14ac:dyDescent="0.3">
      <c r="A73" s="55"/>
      <c r="B73" s="8"/>
      <c r="C73" s="8"/>
      <c r="D73" s="26"/>
      <c r="E73" t="s">
        <v>270</v>
      </c>
      <c r="F73" s="8"/>
      <c r="G73" s="42" t="s">
        <v>102</v>
      </c>
      <c r="H73" s="42"/>
      <c r="I73" s="168" t="e">
        <f t="shared" si="2"/>
        <v>#DIV/0!</v>
      </c>
      <c r="J73" s="185" t="str">
        <f t="shared" si="3"/>
        <v>-</v>
      </c>
      <c r="K73" s="168"/>
      <c r="M73" s="108"/>
    </row>
    <row r="74" spans="1:26" s="7" customFormat="1" x14ac:dyDescent="0.3">
      <c r="A74" s="55"/>
      <c r="B74" s="8"/>
      <c r="C74" s="8"/>
      <c r="D74" s="26"/>
      <c r="E74" t="s">
        <v>105</v>
      </c>
      <c r="F74" s="8"/>
      <c r="G74" s="42" t="s">
        <v>230</v>
      </c>
      <c r="H74" s="42"/>
      <c r="I74" s="168">
        <f t="shared" si="2"/>
        <v>0</v>
      </c>
      <c r="J74" s="185" t="str">
        <f t="shared" si="3"/>
        <v>-</v>
      </c>
      <c r="K74" s="168"/>
      <c r="M74" s="108"/>
    </row>
    <row r="75" spans="1:26" x14ac:dyDescent="0.3">
      <c r="C75" s="8"/>
      <c r="D75" s="26"/>
      <c r="E75" t="s">
        <v>271</v>
      </c>
      <c r="F75" s="8"/>
      <c r="G75" s="42" t="s">
        <v>230</v>
      </c>
      <c r="H75" s="41"/>
      <c r="I75" s="168">
        <f t="shared" si="2"/>
        <v>-47.603335860579364</v>
      </c>
      <c r="J75" s="185" t="str">
        <f t="shared" si="3"/>
        <v>-</v>
      </c>
      <c r="K75" s="168"/>
      <c r="M75" s="55"/>
      <c r="O75" s="8"/>
      <c r="T75" s="8"/>
      <c r="X75" s="8"/>
      <c r="Z75" s="8"/>
    </row>
    <row r="76" spans="1:26" x14ac:dyDescent="0.3">
      <c r="A76" s="55"/>
      <c r="C76" s="8"/>
      <c r="D76" s="26"/>
      <c r="E76" t="s">
        <v>272</v>
      </c>
      <c r="F76" s="3"/>
      <c r="G76" s="42" t="s">
        <v>110</v>
      </c>
      <c r="H76" s="42"/>
      <c r="I76" s="121" t="e">
        <f t="shared" si="2"/>
        <v>#DIV/0!</v>
      </c>
      <c r="J76" s="185" t="str">
        <f t="shared" si="3"/>
        <v>-</v>
      </c>
      <c r="K76" s="121"/>
      <c r="M76" s="55"/>
      <c r="O76" s="8"/>
      <c r="T76" s="8"/>
      <c r="X76" s="8"/>
      <c r="Z76" s="8"/>
    </row>
    <row r="77" spans="1:26" s="7" customFormat="1" x14ac:dyDescent="0.3">
      <c r="A77" s="55"/>
      <c r="B77" s="8"/>
      <c r="C77" s="8"/>
      <c r="D77" s="33"/>
      <c r="E77" t="s">
        <v>111</v>
      </c>
      <c r="F77" s="8"/>
      <c r="G77" s="42" t="s">
        <v>110</v>
      </c>
      <c r="H77" s="42"/>
      <c r="I77" s="121">
        <f t="shared" si="2"/>
        <v>0</v>
      </c>
      <c r="J77" s="185" t="str">
        <f t="shared" si="3"/>
        <v>-</v>
      </c>
      <c r="K77" s="121"/>
      <c r="M77" s="108"/>
    </row>
    <row r="78" spans="1:26" s="7" customFormat="1" x14ac:dyDescent="0.3">
      <c r="A78" s="55"/>
      <c r="B78" s="8"/>
      <c r="C78" s="8"/>
      <c r="D78" s="26"/>
      <c r="E78" t="s">
        <v>273</v>
      </c>
      <c r="F78" s="8"/>
      <c r="G78" s="42" t="s">
        <v>110</v>
      </c>
      <c r="H78" s="41"/>
      <c r="I78" s="121">
        <f t="shared" si="2"/>
        <v>0</v>
      </c>
      <c r="J78" s="185" t="str">
        <f t="shared" si="3"/>
        <v>-</v>
      </c>
      <c r="K78" s="121"/>
      <c r="M78" s="108"/>
    </row>
    <row r="79" spans="1:26" s="7" customFormat="1" x14ac:dyDescent="0.3">
      <c r="A79" s="55"/>
      <c r="B79" s="8"/>
      <c r="C79" s="8"/>
      <c r="D79" s="26"/>
      <c r="E79" t="s">
        <v>113</v>
      </c>
      <c r="F79" s="8"/>
      <c r="G79" s="42" t="s">
        <v>230</v>
      </c>
      <c r="H79" s="41"/>
      <c r="I79" s="121">
        <f t="shared" si="2"/>
        <v>0</v>
      </c>
      <c r="J79" s="185" t="str">
        <f t="shared" si="3"/>
        <v>-</v>
      </c>
      <c r="K79" s="121"/>
      <c r="M79" s="108"/>
    </row>
    <row r="80" spans="1:26" s="7" customFormat="1" x14ac:dyDescent="0.3">
      <c r="A80" s="55"/>
      <c r="B80" s="8"/>
      <c r="C80" s="8"/>
      <c r="D80" s="26"/>
      <c r="E80" s="3"/>
      <c r="F80" s="3"/>
      <c r="G80" s="3"/>
      <c r="H80" s="42"/>
      <c r="I80" s="145"/>
      <c r="J80" s="146"/>
      <c r="K80" s="145"/>
      <c r="M80" s="108"/>
    </row>
    <row r="81" spans="1:26" s="7" customFormat="1" x14ac:dyDescent="0.3">
      <c r="A81" s="55"/>
      <c r="B81" s="8"/>
      <c r="C81" s="8"/>
      <c r="D81" s="26"/>
      <c r="E81" s="30" t="s">
        <v>274</v>
      </c>
      <c r="F81" s="8"/>
      <c r="G81" s="42" t="s">
        <v>198</v>
      </c>
      <c r="H81" s="41"/>
      <c r="I81" s="275">
        <f>IFERROR((I78-I76)/I76,0)</f>
        <v>0</v>
      </c>
      <c r="J81" s="185" t="str">
        <f>IFERROR(I81/I53-1,"-")</f>
        <v>-</v>
      </c>
      <c r="K81" s="237"/>
      <c r="M81" s="108"/>
    </row>
    <row r="82" spans="1:26" s="7" customFormat="1" x14ac:dyDescent="0.3">
      <c r="A82" s="55"/>
      <c r="B82" s="8"/>
      <c r="C82" s="8"/>
      <c r="D82" s="26"/>
      <c r="E82" s="3"/>
      <c r="F82" s="3"/>
      <c r="G82" s="3"/>
      <c r="H82" s="42"/>
      <c r="I82" s="145"/>
      <c r="J82" s="146"/>
      <c r="K82" s="145"/>
      <c r="M82" s="108"/>
    </row>
    <row r="83" spans="1:26" x14ac:dyDescent="0.3">
      <c r="C83" s="106" t="s">
        <v>275</v>
      </c>
      <c r="D83" s="106"/>
      <c r="E83" s="106"/>
      <c r="F83" s="106"/>
      <c r="G83" s="106"/>
      <c r="H83" s="106"/>
      <c r="I83" s="159"/>
      <c r="J83" s="159"/>
      <c r="K83" s="159"/>
      <c r="M83" s="55"/>
      <c r="O83" s="8"/>
      <c r="T83" s="8"/>
      <c r="X83" s="8"/>
      <c r="Z83" s="8"/>
    </row>
    <row r="84" spans="1:26" s="7" customFormat="1" x14ac:dyDescent="0.3">
      <c r="A84" s="55"/>
      <c r="B84" s="8"/>
      <c r="C84" s="8"/>
      <c r="D84" s="33"/>
      <c r="E84" s="3"/>
      <c r="F84" s="3"/>
      <c r="G84" s="3"/>
      <c r="H84" s="42"/>
      <c r="I84" s="145"/>
      <c r="J84" s="146"/>
      <c r="K84" s="145"/>
      <c r="M84" s="108"/>
    </row>
    <row r="85" spans="1:26" s="7" customFormat="1" x14ac:dyDescent="0.3">
      <c r="A85" s="55"/>
      <c r="B85" s="8"/>
      <c r="C85" s="8"/>
      <c r="D85" s="26"/>
      <c r="E85" t="s">
        <v>276</v>
      </c>
      <c r="F85" s="8"/>
      <c r="G85" s="42" t="s">
        <v>102</v>
      </c>
      <c r="H85" s="42"/>
      <c r="I85" s="168">
        <f t="shared" ref="I85:I91" si="4">IF($G$19&lt;=$G$35,J57,IF($G$19&lt;=$G$36,K57,IF($G$19&lt;=$G$37,L57,I57)))</f>
        <v>0</v>
      </c>
      <c r="J85" s="225" t="str">
        <f>IFERROR(I85/I57-1,"-")</f>
        <v>-</v>
      </c>
      <c r="K85" s="168"/>
      <c r="M85" s="108"/>
    </row>
    <row r="86" spans="1:26" s="7" customFormat="1" x14ac:dyDescent="0.3">
      <c r="A86" s="55"/>
      <c r="B86" s="8"/>
      <c r="C86" s="8"/>
      <c r="D86" s="26"/>
      <c r="E86" t="s">
        <v>277</v>
      </c>
      <c r="F86" s="8"/>
      <c r="G86" s="42" t="s">
        <v>102</v>
      </c>
      <c r="H86" s="42"/>
      <c r="I86" s="168">
        <f t="shared" si="4"/>
        <v>0</v>
      </c>
      <c r="J86" s="225" t="str">
        <f t="shared" ref="J86:J91" si="5">IFERROR(I86/I58-1,"-")</f>
        <v>-</v>
      </c>
      <c r="K86" s="168"/>
      <c r="M86" s="108"/>
    </row>
    <row r="87" spans="1:26" s="7" customFormat="1" x14ac:dyDescent="0.3">
      <c r="A87" s="55"/>
      <c r="B87" s="8"/>
      <c r="C87" s="8"/>
      <c r="D87" s="26"/>
      <c r="E87" t="s">
        <v>119</v>
      </c>
      <c r="F87" s="8"/>
      <c r="G87" s="42" t="s">
        <v>230</v>
      </c>
      <c r="H87" s="42"/>
      <c r="I87" s="168">
        <f t="shared" si="4"/>
        <v>0</v>
      </c>
      <c r="J87" s="225" t="str">
        <f t="shared" si="5"/>
        <v>-</v>
      </c>
      <c r="K87" s="168"/>
      <c r="M87" s="108"/>
    </row>
    <row r="88" spans="1:26" x14ac:dyDescent="0.3">
      <c r="C88" s="8"/>
      <c r="D88" s="26"/>
      <c r="E88" t="s">
        <v>272</v>
      </c>
      <c r="F88" s="8"/>
      <c r="G88" s="42" t="s">
        <v>110</v>
      </c>
      <c r="H88" s="41"/>
      <c r="I88" s="121">
        <f>IF($G$19&lt;=$G$35,J60,IF($G$19&lt;=$G$36,K60,IF($G$19&lt;=$G$37,L60,I60)))</f>
        <v>0</v>
      </c>
      <c r="J88" s="225" t="str">
        <f>IFERROR(I88/I60-1,"-")</f>
        <v>-</v>
      </c>
      <c r="K88" s="121"/>
      <c r="M88" s="55"/>
      <c r="O88" s="8"/>
      <c r="T88" s="8"/>
      <c r="X88" s="8"/>
      <c r="Z88" s="8"/>
    </row>
    <row r="89" spans="1:26" x14ac:dyDescent="0.3">
      <c r="A89" s="55"/>
      <c r="C89" s="8"/>
      <c r="D89" s="26"/>
      <c r="E89" t="s">
        <v>120</v>
      </c>
      <c r="F89" s="3"/>
      <c r="G89" s="42" t="s">
        <v>110</v>
      </c>
      <c r="H89" s="42"/>
      <c r="I89" s="121">
        <f t="shared" si="4"/>
        <v>0</v>
      </c>
      <c r="J89" s="225" t="str">
        <f>IFERROR(I89/I61-1,"-")</f>
        <v>-</v>
      </c>
      <c r="K89" s="121"/>
      <c r="M89" s="55"/>
      <c r="O89" s="8"/>
      <c r="T89" s="8"/>
      <c r="X89" s="8"/>
      <c r="Z89" s="8"/>
    </row>
    <row r="90" spans="1:26" s="7" customFormat="1" x14ac:dyDescent="0.3">
      <c r="A90" s="55"/>
      <c r="B90" s="8"/>
      <c r="C90" s="8"/>
      <c r="D90" s="33"/>
      <c r="E90" t="s">
        <v>273</v>
      </c>
      <c r="F90" s="8"/>
      <c r="G90" s="42" t="s">
        <v>230</v>
      </c>
      <c r="H90" s="42"/>
      <c r="I90" s="121">
        <f t="shared" si="4"/>
        <v>0</v>
      </c>
      <c r="J90" s="225" t="str">
        <f t="shared" si="5"/>
        <v>-</v>
      </c>
      <c r="K90" s="121"/>
      <c r="M90" s="108"/>
    </row>
    <row r="91" spans="1:26" s="7" customFormat="1" x14ac:dyDescent="0.3">
      <c r="A91" s="55"/>
      <c r="B91" s="8"/>
      <c r="C91" s="8"/>
      <c r="D91" s="26"/>
      <c r="E91" t="s">
        <v>122</v>
      </c>
      <c r="F91" s="8"/>
      <c r="G91" s="42" t="s">
        <v>230</v>
      </c>
      <c r="H91" s="41"/>
      <c r="I91" s="121" t="str">
        <f t="shared" si="4"/>
        <v/>
      </c>
      <c r="J91" s="225" t="str">
        <f t="shared" si="5"/>
        <v>-</v>
      </c>
      <c r="K91" s="121"/>
      <c r="M91" s="108"/>
    </row>
    <row r="92" spans="1:26" s="7" customFormat="1" x14ac:dyDescent="0.3">
      <c r="A92" s="55"/>
      <c r="B92" s="8"/>
      <c r="C92" s="8"/>
      <c r="D92" s="26"/>
      <c r="E92" s="3"/>
      <c r="F92" s="3"/>
      <c r="G92" s="3"/>
      <c r="H92" s="42"/>
      <c r="I92" s="145"/>
      <c r="J92" s="146"/>
      <c r="K92" s="145"/>
      <c r="M92" s="108"/>
    </row>
    <row r="93" spans="1:26" s="7" customFormat="1" x14ac:dyDescent="0.3">
      <c r="A93" s="55"/>
      <c r="B93" s="8"/>
      <c r="C93" s="8"/>
      <c r="D93" s="26"/>
      <c r="E93" s="30" t="s">
        <v>274</v>
      </c>
      <c r="F93" s="8"/>
      <c r="G93" s="42" t="s">
        <v>198</v>
      </c>
      <c r="H93" s="41"/>
      <c r="I93" s="275">
        <f>IFERROR((I90-I88)/I88,0)</f>
        <v>0</v>
      </c>
      <c r="J93" s="225" t="str">
        <f>IFERROR(I93/I65-1,"-")</f>
        <v>-</v>
      </c>
      <c r="K93" s="237"/>
      <c r="M93" s="108"/>
    </row>
    <row r="94" spans="1:26" s="7" customFormat="1" x14ac:dyDescent="0.3">
      <c r="A94" s="55"/>
      <c r="B94" s="8"/>
      <c r="C94" s="8"/>
      <c r="D94" s="26"/>
      <c r="E94" s="3"/>
      <c r="F94" s="3"/>
      <c r="G94" s="3"/>
      <c r="H94" s="42"/>
      <c r="I94" s="145"/>
      <c r="J94" s="145"/>
      <c r="K94" s="146"/>
      <c r="L94" s="146"/>
      <c r="M94" s="108"/>
    </row>
    <row r="95" spans="1:26" customFormat="1" x14ac:dyDescent="0.3">
      <c r="A95" s="15"/>
      <c r="B95" s="15" t="s">
        <v>76</v>
      </c>
      <c r="C95" s="15"/>
      <c r="D95" s="15"/>
      <c r="E95" s="15"/>
      <c r="F95" s="15"/>
      <c r="G95" s="15"/>
      <c r="H95" s="37"/>
      <c r="I95" s="144"/>
      <c r="J95" s="144"/>
      <c r="K95" s="144"/>
      <c r="L95" s="144"/>
      <c r="M95" s="211"/>
      <c r="N95" s="211"/>
      <c r="O95" s="211"/>
      <c r="P95" s="211"/>
      <c r="Q95" s="211"/>
      <c r="R95" s="211"/>
      <c r="S95" s="211"/>
      <c r="T95" s="211"/>
      <c r="U95" s="211"/>
      <c r="V95" s="211"/>
      <c r="W95" s="211"/>
      <c r="X95" s="211"/>
    </row>
    <row r="96" spans="1:26" customFormat="1" hidden="1" x14ac:dyDescent="0.3"/>
  </sheetData>
  <sheetProtection algorithmName="SHA-512" hashValue="VFnFDa5J58ECf/gshpPp0YbrU9zKx07OZVzu1X0d8S5nU+aQZsYrXPuX6p+gDhad+JXWcRRGE7rSxlosKJihFw==" saltValue="J0SsqgsKpaIyqOTvOA3Qaw==" spinCount="100000" sheet="1" objects="1" scenarios="1" selectLockedCells="1" selectUnlockedCells="1"/>
  <conditionalFormatting sqref="A1:A3">
    <cfRule type="containsText" dxfId="1" priority="1" operator="containsText" text="FALSE">
      <formula>NOT(ISERROR(SEARCH("FALSE",A1)))</formula>
    </cfRule>
    <cfRule type="containsText" dxfId="0" priority="2" operator="containsText" text="TRUE">
      <formula>NOT(ISERROR(SEARCH("TRUE",A1)))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7F6ED-87C2-4CFA-B7FD-53EF1CC78D5E}">
  <sheetPr codeName="Sheet16">
    <tabColor theme="8"/>
  </sheetPr>
  <dimension ref="B2"/>
  <sheetViews>
    <sheetView workbookViewId="0"/>
  </sheetViews>
  <sheetFormatPr defaultColWidth="8" defaultRowHeight="29" x14ac:dyDescent="0.3"/>
  <cols>
    <col min="1" max="1" width="2.54296875" style="20" customWidth="1"/>
    <col min="2" max="16384" width="8" style="20"/>
  </cols>
  <sheetData>
    <row r="2" spans="2:2" x14ac:dyDescent="0.3">
      <c r="B2" s="20" t="s">
        <v>281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53d807e7-6d2b-45bc-b5b2-bae74e50c891">
      <UserInfo>
        <DisplayName>Alexander Hargreaves</DisplayName>
        <AccountId>34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BC5CBBDE8A484280E805CD3D0AEB76" ma:contentTypeVersion="8" ma:contentTypeDescription="Create a new document." ma:contentTypeScope="" ma:versionID="5df994af981d196300d2fa2e7f527cbb">
  <xsd:schema xmlns:xsd="http://www.w3.org/2001/XMLSchema" xmlns:xs="http://www.w3.org/2001/XMLSchema" xmlns:p="http://schemas.microsoft.com/office/2006/metadata/properties" xmlns:ns2="c87c8ed4-0b1a-4991-8f50-e53c2742629d" xmlns:ns3="53d807e7-6d2b-45bc-b5b2-bae74e50c891" targetNamespace="http://schemas.microsoft.com/office/2006/metadata/properties" ma:root="true" ma:fieldsID="84e41d368d9f5ecaaf6e80921dc18b34" ns2:_="" ns3:_="">
    <xsd:import namespace="c87c8ed4-0b1a-4991-8f50-e53c2742629d"/>
    <xsd:import namespace="53d807e7-6d2b-45bc-b5b2-bae74e50c8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7c8ed4-0b1a-4991-8f50-e53c274262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d807e7-6d2b-45bc-b5b2-bae74e50c8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EA1C87-3A8E-42FD-95B9-030B8D67EF0B}">
  <ds:schemaRefs>
    <ds:schemaRef ds:uri="http://purl.org/dc/dcmitype/"/>
    <ds:schemaRef ds:uri="http://www.w3.org/XML/1998/namespace"/>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c87c8ed4-0b1a-4991-8f50-e53c2742629d"/>
    <ds:schemaRef ds:uri="53d807e7-6d2b-45bc-b5b2-bae74e50c891"/>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BC30EE5F-22DC-4813-B372-5F7FF4ED13D8}">
  <ds:schemaRefs>
    <ds:schemaRef ds:uri="http://schemas.microsoft.com/sharepoint/v3/contenttype/forms"/>
  </ds:schemaRefs>
</ds:datastoreItem>
</file>

<file path=customXml/itemProps3.xml><?xml version="1.0" encoding="utf-8"?>
<ds:datastoreItem xmlns:ds="http://schemas.openxmlformats.org/officeDocument/2006/customXml" ds:itemID="{CF181D5C-2826-4416-9C34-09E8B2651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7c8ed4-0b1a-4991-8f50-e53c2742629d"/>
    <ds:schemaRef ds:uri="53d807e7-6d2b-45bc-b5b2-bae74e50c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Intro</vt:lpstr>
      <vt:lpstr>Guidance</vt:lpstr>
      <vt:lpstr>Wholesale Tariff Inputs</vt:lpstr>
      <vt:lpstr>York Areas</vt:lpstr>
      <vt:lpstr>Cockpit</vt:lpstr>
      <vt:lpstr>O&gt;</vt:lpstr>
      <vt:lpstr>Charging arrangements table</vt:lpstr>
      <vt:lpstr>Margin comparison</vt:lpstr>
      <vt:lpstr>C&gt;</vt:lpstr>
      <vt:lpstr>Bulk Supply Tariffs</vt:lpstr>
      <vt:lpstr>Avoided Capital Maintenance</vt:lpstr>
      <vt:lpstr>Avoided Operating Costs</vt:lpstr>
      <vt:lpstr>Relevant starting point</vt:lpstr>
      <vt:lpstr>I &gt;</vt:lpstr>
      <vt:lpstr>Wholesale tariffs</vt:lpstr>
      <vt:lpstr>_ModelDate</vt:lpstr>
      <vt:lpstr>_ModelName</vt:lpstr>
      <vt:lpstr>_ModelStatus</vt:lpstr>
      <vt:lpstr>_ModelVersion</vt:lpstr>
      <vt:lpstr>_OrganisationName</vt:lpstr>
      <vt:lpstr>Cockpit!Million</vt:lpstr>
      <vt:lpstr>Guidance!Million</vt:lpstr>
      <vt:lpstr>Guidance!Thousand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Joshua Woolnough</dc:creator>
  <cp:keywords/>
  <dc:description/>
  <cp:lastModifiedBy>Sarah Shaw</cp:lastModifiedBy>
  <cp:revision/>
  <dcterms:created xsi:type="dcterms:W3CDTF">2019-08-13T06:43:34Z</dcterms:created>
  <dcterms:modified xsi:type="dcterms:W3CDTF">2025-03-31T12:54:38Z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da7fe984-74c4-41ca-a3a0-07b0cd9b0000</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0x010100C7BC5CBBDE8A484280E805CD3D0AEB76</vt:lpwstr>
  </property>
  <property fmtid="{D5CDD505-2E9C-101B-9397-08002B2CF9AE}" pid="6" name="Comparison_Temp4RowInsertions">
    <vt:lpwstr/>
  </property>
  <property fmtid="{D5CDD505-2E9C-101B-9397-08002B2CF9AE}" pid="7" name="Comparison_Temp4ColumnInsertions">
    <vt:lpwstr/>
  </property>
  <property fmtid="{D5CDD505-2E9C-101B-9397-08002B2CF9AE}" pid="8" name="Comparison_Temp4CellChanges1_1">
    <vt:lpwstr>CgAAAB+LCAAAAAAABAAzNzcxNjI2qnE0BAD0Bb+rCgAAAA==</vt:lpwstr>
  </property>
  <property fmtid="{D5CDD505-2E9C-101B-9397-08002B2CF9AE}" pid="9" name="Comparison_Thoughts_todo13RowInsertions">
    <vt:lpwstr/>
  </property>
  <property fmtid="{D5CDD505-2E9C-101B-9397-08002B2CF9AE}" pid="10" name="Comparison_Thoughts_todo13ColumnInsertions">
    <vt:lpwstr/>
  </property>
  <property fmtid="{D5CDD505-2E9C-101B-9397-08002B2CF9AE}" pid="11" name="Comparison_Intro5RowInsertions">
    <vt:lpwstr/>
  </property>
  <property fmtid="{D5CDD505-2E9C-101B-9397-08002B2CF9AE}" pid="12" name="Comparison_Intro5ColumnInsertions">
    <vt:lpwstr/>
  </property>
  <property fmtid="{D5CDD505-2E9C-101B-9397-08002B2CF9AE}" pid="13" name="Comparison_Lists5RowInsertions">
    <vt:lpwstr/>
  </property>
  <property fmtid="{D5CDD505-2E9C-101B-9397-08002B2CF9AE}" pid="14" name="Comparison_Lists5ColumnInsertions">
    <vt:lpwstr/>
  </property>
  <property fmtid="{D5CDD505-2E9C-101B-9397-08002B2CF9AE}" pid="15" name="Comparison_Constants9RowInsertions">
    <vt:lpwstr/>
  </property>
  <property fmtid="{D5CDD505-2E9C-101B-9397-08002B2CF9AE}" pid="16" name="Comparison_Constants9ColumnInsertions">
    <vt:lpwstr/>
  </property>
  <property fmtid="{D5CDD505-2E9C-101B-9397-08002B2CF9AE}" pid="17" name="Comparison_Constants9CellChanges1_1">
    <vt:lpwstr>CgAAAB+LCAAAAAAABAAzNzcxNjI2qnE0BAD0Bb+rCgAAAA==</vt:lpwstr>
  </property>
  <property fmtid="{D5CDD505-2E9C-101B-9397-08002B2CF9AE}" pid="18" name="Comparison_Settings8RowInsertions">
    <vt:lpwstr>176,177,178,179,180,181,182,183,184,185,186,187,188</vt:lpwstr>
  </property>
  <property fmtid="{D5CDD505-2E9C-101B-9397-08002B2CF9AE}" pid="19" name="Comparison_Settings8ColumnInsertions">
    <vt:lpwstr/>
  </property>
  <property fmtid="{D5CDD505-2E9C-101B-9397-08002B2CF9AE}" pid="20" name="Comparison_Settings8CellChanges1_1">
    <vt:lpwstr>bQUAAB+LCAAAAAAABAAtlEty3TgMRTekKgskAZKeObZeqSuTLOgtvs9RMiD+vIAAUHOO3np7f8VHjGijz/X+rnnctY//an/+hn9H7OOCfL6U7r9qU216HzIajtE+ouacLfJ9cfvF7T/wr18I1zw/X/M8bs4f5K9fCK8ZGAJDaAiiGlGAca7H0XQ0hK7QsQ4iBhGD6x254xw6NSSOxJAakugiojAWso7SUUROHBPD1KCwFBYeKp/7eC0KXtS4Ah7</vt:lpwstr>
  </property>
  <property fmtid="{D5CDD505-2E9C-101B-9397-08002B2CF9AE}" pid="21" name="Comparison_Settings8CellChanges1_2">
    <vt:lpwstr>H9yNT3mrELGKIXRSwOpzcK5ETTspFhkWGNeHruDa2jW1PZGybHJsccZ6SkDRJlwxJSkoiBvHriV8Sm3+qxgketWzNEY4oHNZSWs7pdE6nkt6mtzUl07Wu2o8fHXe0lJS2YchQnariNfG6eP1k5L1xrXsNCYeV99QrSrf8Xkp+Q586ppJQfemw5u6n9C3UAGUIP069rho3fmJYxvDG0JZ6044lzYeomjytOZ/gJ0QpG5WmtaSlpaVBrkhryQfPPp</vt:lpwstr>
  </property>
  <property fmtid="{D5CDD505-2E9C-101B-9397-08002B2CF9AE}" pid="22" name="Comparison_Settings8CellChanges1_3">
    <vt:lpwstr>Z5y1mUbSrhyzaVbSoTlTnKHOV8SrxK6ks7VH6gL0eUWwmbn1p+ZZWS3SibOL3rqkp+sPFu2qix+/tmnW/W8Wa7brbt9+JRjTP26vt9se/X8wYmnBSsKue4WFUOPOCMmIsc/As/GVlTDpwes6YceMGZNWvKgbumrhOYW0z48qmzbRLXyj1iy65/W+bcm918dobhS1T9ekYuUXq8S/VZIfG6eClKisIoJUpDyV1I8Z5hMR2JNq+VFZR3GZFESYASo</vt:lpwstr>
  </property>
  <property fmtid="{D5CDD505-2E9C-101B-9397-08002B2CF9AE}" pid="23" name="Comparison_Settings8CellChanges1_4">
    <vt:lpwstr>AQoAUqAegBKyTLm+KjMzg8q/DWE/wYJqhO08xJUh+cQJKju6XRfpstqk8OOhq8egsOmho8foiqo/wCI6vwfMyUlA20FAAA=</vt:lpwstr>
  </property>
  <property fmtid="{D5CDD505-2E9C-101B-9397-08002B2CF9AE}" pid="24" name="Comparison_I &gt;3RowInsertions">
    <vt:lpwstr/>
  </property>
  <property fmtid="{D5CDD505-2E9C-101B-9397-08002B2CF9AE}" pid="25" name="Comparison_I &gt;3ColumnInsertions">
    <vt:lpwstr/>
  </property>
  <property fmtid="{D5CDD505-2E9C-101B-9397-08002B2CF9AE}" pid="26" name="Comparison_Historic8RowInsertions">
    <vt:lpwstr/>
  </property>
  <property fmtid="{D5CDD505-2E9C-101B-9397-08002B2CF9AE}" pid="27" name="Comparison_Historic8ColumnInsertions">
    <vt:lpwstr/>
  </property>
  <property fmtid="{D5CDD505-2E9C-101B-9397-08002B2CF9AE}" pid="28" name="Comparison_Historic8CellChanges1_1">
    <vt:lpwstr>CgAAAB+LCAAAAAAABAAzNzcxNjI2qnE0BAD0Bb+rCgAAAA==</vt:lpwstr>
  </property>
  <property fmtid="{D5CDD505-2E9C-101B-9397-08002B2CF9AE}" pid="29" name="Comparison_PriceEffects12RowInsertions">
    <vt:lpwstr/>
  </property>
  <property fmtid="{D5CDD505-2E9C-101B-9397-08002B2CF9AE}" pid="30" name="Comparison_PriceEffects12ColumnInsertions">
    <vt:lpwstr/>
  </property>
  <property fmtid="{D5CDD505-2E9C-101B-9397-08002B2CF9AE}" pid="31" name="Comparison_PriceEffects12CellChanges1_1">
    <vt:lpwstr>CgAAAB+LCAAAAAAABAAzNzcxNjI2qnE0BAD0Bb+rCgAAAA==</vt:lpwstr>
  </property>
  <property fmtid="{D5CDD505-2E9C-101B-9397-08002B2CF9AE}" pid="32" name="Comparison_Efficiencies12RowInsertions">
    <vt:lpwstr/>
  </property>
  <property fmtid="{D5CDD505-2E9C-101B-9397-08002B2CF9AE}" pid="33" name="Comparison_Efficiencies12ColumnInsertions">
    <vt:lpwstr/>
  </property>
  <property fmtid="{D5CDD505-2E9C-101B-9397-08002B2CF9AE}" pid="34" name="Comparison_Efficiencies12CellChanges1_1">
    <vt:lpwstr>CgAAAB+LCAAAAAAABAAzNzcxNjI2qnE0BAD0Bb+rCgAAAA==</vt:lpwstr>
  </property>
  <property fmtid="{D5CDD505-2E9C-101B-9397-08002B2CF9AE}" pid="35" name="Comparison_Drivers7RowInsertions">
    <vt:lpwstr/>
  </property>
  <property fmtid="{D5CDD505-2E9C-101B-9397-08002B2CF9AE}" pid="36" name="Comparison_Drivers7ColumnInsertions">
    <vt:lpwstr/>
  </property>
  <property fmtid="{D5CDD505-2E9C-101B-9397-08002B2CF9AE}" pid="37" name="Comparison_Drivers7CellChanges1_1">
    <vt:lpwstr>1AYAAB+LCAAAAAAABAAllEtuHEEMQy/UQFok+zc7x0gQwAFSm9xmDh89ZeEyx0RRrCdjriuW9f6o7fvRP7X3ob1eHP3xqG91XtelOt5furbful5/+veX7tZ367v10/pp/Wxf3rff3l9/+veXq3W1rtZqrdZq7dZu7dZpndZpfbQ+Wh+tz9Zn63P7qf3YfnH87eP18R3Zf7xeHDgXzjXOhXPj3Dg3zj3OjfPgPDgPzjPO007tL452+vjLx3Za9h8</vt:lpwstr>
  </property>
  <property fmtid="{D5CDD505-2E9C-101B-9397-08002B2CF9AE}" pid="38" name="Comparison_Drivers7CellChanges1_2">
    <vt:lpwstr>Lp3AKp8YpHOEIRzgaRzjGMY5xPI5xghOc4GSc4Bw4vLR4ac1Li5fWiXPinDjnOIApGBQMCgY1DAoGBYOCQcGghkHBoGBQMCgY1DAoGAgGgoFgoGEgGAgGgoFgoGEgGAgGgoFgoGEgGAgGgoFgoGEgGIjWorVorWktWovWorVorWktWovWorVorWktWpvWprVp7WltWpvWprVp7WltWpvWprVp7WltWpvWprVp7WltWpvNmc2ZzXk2ZzZnNmc2Zz</vt:lpwstr>
  </property>
  <property fmtid="{D5CDD505-2E9C-101B-9397-08002B2CF9AE}" pid="39" name="Comparison_Drivers7CellChanges1_3">
    <vt:lpwstr>bn2ZzZnNmc2ZzZnGdz8y8dWofWoWqoGqqGfqFf6BdKhVKhVGgSmoQmYXwYH8aHmWFmmJkZBOwAOxAOhAPhgDVgDVjzfKvj6X+E/Xyv/yu5tvV/A3eLAf5sa/g23jU4m+Yaeg1vDaxmtYZNo1mDokmseXk/fIXr/eQVrvdjV7jez1zhej9whev9tBWu96NWuB6uU6wfskKxfsIKxfoFSxMNzqUJB+XSxINxaQaAcGlGgG9phoBuacaAbWkGgWxpR</vt:lpwstr>
  </property>
  <property fmtid="{D5CDD505-2E9C-101B-9397-08002B2CF9AE}" pid="40" name="Comparison_Drivers7CellChanges1_4">
    <vt:lpwstr>oFraYYNquz13H7eH3xZcmw/+AriQN2oG/Wgnlb9lcKBKhQ3+iuDA2WUUUEFdaAO1Ik6UcwoZhQzihnFjGKGmCFmiBlihpghZogZYoZIESkiRaSIFJFiUkyKSTEpJsWkmBSTYpqapqapaWqamqYhJaSElJASUkJKSAkpISWkhJSQElIyKTQNTUPT0DQ0nSVUR1z3+1O7t0/p6MP3P+r9TJ3UBgAA</vt:lpwstr>
  </property>
  <property fmtid="{D5CDD505-2E9C-101B-9397-08002B2CF9AE}" pid="41" name="Comparison_Elasticities12RowInsertions">
    <vt:lpwstr/>
  </property>
  <property fmtid="{D5CDD505-2E9C-101B-9397-08002B2CF9AE}" pid="42" name="Comparison_Elasticities12ColumnInsertions">
    <vt:lpwstr/>
  </property>
  <property fmtid="{D5CDD505-2E9C-101B-9397-08002B2CF9AE}" pid="43" name="Comparison_Elasticities12CellChanges1_1">
    <vt:lpwstr>xw0AAB+LCAAAAAAABAAll0Fy3DoMBS+kqpgiQUneJanvzSBF8D4+/O8eL6D3ptolDp8BxLmu0c9+fv9ux595H39a43G2+9MHH+f9q83rus4W36/z/KSOfyh1LJQ6Nkodr3PCJ3zCJ3zCJ3zCJ/yCX/ALfsEv+AW/4Bf8ht/wG37Db/gNv+E3/IE/8Af+wB/4A3/gz/HqH5/U8Q+ljoVSx0YpeIM3eIM3eIM3eIM3OPfr3A+l4NwP3SgF7/AO7/A</vt:lpwstr>
  </property>
  <property fmtid="{D5CDD505-2E9C-101B-9397-08002B2CF9AE}" pid="44" name="Comparison_Elasticities12CellChanges1_2">
    <vt:lpwstr>O7/AO7/AOH/ABH/ABH/ABH/ABD3jAAx7wgAc84AEnv05+KAUnP3SjFJz8OvmhFJz80I1ScPLr5IdScPJDN0rBya+TH0rByQ/dKHW8BvkN8kOpY6HUsVEKTn6D/FAKTn7oRik4+Q3yQyk4+aEbpeDkN8gPpeDkh26UgpPfID+UgpMfulEKzv0G90MpOPdDN0rBud/gfigF537oRqnjFdwvuB9KHQuljo1ScO4X3A+l4NwP3SgF537B/VAKzv3QjV</vt:lpwstr>
  </property>
  <property fmtid="{D5CDD505-2E9C-101B-9397-08002B2CF9AE}" pid="45" name="Comparison_Elasticities12CellChanges1_3">
    <vt:lpwstr>Jw7hfcD6Xg3A/dKAXnfsH9UArO/dCNUnD6I+gPlILTH+hGKTj9EfQHSsHpD3SjFJz+CPoDpeD0B7pRCk5+QX4oBSc/dKMUnPyC/FAKTn7oRqnjNclvkh9KHQuljo1ScPKb5IdScPJDN0rByW+SH0rByQ/dKAUnv0l+KAUnP3SjFJz8JvmhFJz80I1ScPKb5IdScPJDN0rByW+SH0rByQ/dKHV8nSwyH2waXJ4/O+78LB1gSt1juDzfGw5XOsAld</vt:lpwstr>
  </property>
  <property fmtid="{D5CDD505-2E9C-101B-9397-08002B2CF9AE}" pid="46" name="Comparison_Elasticities12CellChanges1_4">
    <vt:lpwstr>Yvh8nzvN1zpALfUHYbL873dcKUDPNJH+kjdbbjSfZ2sLx9QXOqWrnSAJm3SJm3SJm1Sb+Tu0qVu6UoH6NIu7dIu7dIuHdIhHdIhHdIhDWlIQxrSkIbUrNxZutQtXekAZuXG0qVu6UoHMCv3lS51S1c6gFm5rXSpW7rSfZ3DrNxVutQtXekAZuWm0qVu6UoHMCv3lC51S1c6gFm5pXSpW7rSAczKHaVL3dKVDuCN3FC61C1d6QDeyP2kS93Sle7r</vt:lpwstr>
  </property>
  <property fmtid="{D5CDD505-2E9C-101B-9397-08002B2CF9AE}" pid="47" name="Comparison_Elasticities12CellChanges1_5">
    <vt:lpwstr>DG/kdtKlbulKB/BG7iZd6paudABv5GbSpW7pSgfwRu4lXeqWrnQAb+RW0qVu6UoH8LfvTtKlbulKB/C370bSpW7pSgfwt+8+0qVu6UoHMCu3kS51S1c6gFm5i3SpW7rSfZ3TrNxEutQtXekAZuUe0qVu6UoHMKv5/ivGrNxPutIBzModpEvd0pUOYFZuIF3qlq50ALNy/+hSt3SlA5jVNKtpVvP9d5NZzfmrxXO252N+588+OupnGx353kCTz++</vt:lpwstr>
  </property>
  <property fmtid="{D5CDD505-2E9C-101B-9397-08002B2CF9AE}" pid="48" name="Comparison_Elasticities12CellChanges1_6">
    <vt:lpwstr>f5LNJXnw2x4vPZnfz2eRuPpvWw2ezeo50k7A+yj2CpruDhVFuDjTdFqyIcleg6X5gKZTbAU03Amug3AdougMY/HIDoOnUM+rlzKPpnDPc5ZSj6WQzzuVco+ksM8DlJKPp9DKy5eyi6bwypOW0oumEMpblfKLpTDKI5USi6RQyeuUMouncMWzl1KHppDFe5Zyh6WwxUOVkoek0MULlLKHp/DA05fSg6cQwJuW8oOmMMBjlhKDpVDAK5Uyg6RzQ/O</vt:lpwstr>
  </property>
  <property fmtid="{D5CDD505-2E9C-101B-9397-08002B2CF9AE}" pid="49" name="Comparison_Elasticities12CellChanges1_7">
    <vt:lpwstr>UUoGnn0+5l36Npr9PgZaejaXfT0mVvo2k/08RlN6NpB9O2Zf+iac/SqGXHommX0pplj6JpX9KMZVeiaSfSfmUfomnv0Xpl59l446M9d3++f/t/AR/Hf/5L6EM3dVN36S7drXv/3KN7cHSXD13TNZ1v6b6FXvKhG7qhC13oPKN7RveM7hndM7pndM/onjE8Y3jG8IzhGcMzhmcMzxieMTxjeMbwLcO3DN8yfEv4lvAt4VvCt4RvCd8SviV8S/iW8</vt:lpwstr>
  </property>
  <property fmtid="{D5CDD505-2E9C-101B-9397-08002B2CF9AE}" pid="50" name="Comparison_Elasticities12CellChanges1_8">
    <vt:lpwstr>C3hNw2/afhNw28aftPwm4ZnhGeEZ4RnTM+YnjE9Y3rG9IzpGdMzpmdMz5ieMT1jesb0jPcvpnGd6/7+e54fB4/BY8z/AUU2nVbHDQAA</vt:lpwstr>
  </property>
  <property fmtid="{D5CDD505-2E9C-101B-9397-08002B2CF9AE}" pid="51" name="Comparison_Overlays8RowInsertions">
    <vt:lpwstr/>
  </property>
  <property fmtid="{D5CDD505-2E9C-101B-9397-08002B2CF9AE}" pid="52" name="Comparison_Overlays8ColumnInsertions">
    <vt:lpwstr/>
  </property>
  <property fmtid="{D5CDD505-2E9C-101B-9397-08002B2CF9AE}" pid="53" name="Comparison_Overlays8CellChanges1_1">
    <vt:lpwstr>CgAAAB+LCAAAAAAABAAzNzcxNjI2qnE0BAD0Bb+rCgAAAA==</vt:lpwstr>
  </property>
  <property fmtid="{D5CDD505-2E9C-101B-9397-08002B2CF9AE}" pid="54" name="Comparison_C&gt;2RowInsertions">
    <vt:lpwstr/>
  </property>
  <property fmtid="{D5CDD505-2E9C-101B-9397-08002B2CF9AE}" pid="55" name="Comparison_C&gt;2ColumnInsertions">
    <vt:lpwstr/>
  </property>
  <property fmtid="{D5CDD505-2E9C-101B-9397-08002B2CF9AE}" pid="56" name="Comparison_RevsForecast(Nom)17RowInsertions">
    <vt:lpwstr/>
  </property>
  <property fmtid="{D5CDD505-2E9C-101B-9397-08002B2CF9AE}" pid="57" name="Comparison_RevsForecast(Nom)17ColumnInsertions">
    <vt:lpwstr/>
  </property>
  <property fmtid="{D5CDD505-2E9C-101B-9397-08002B2CF9AE}" pid="58" name="Comparison_RevsForecast(Nom)17CellChanges1_1">
    <vt:lpwstr>CgAAAB+LCAAAAAAABAAzNzcxNjI2qnE0BAD0Bb+rCgAAAA==</vt:lpwstr>
  </property>
  <property fmtid="{D5CDD505-2E9C-101B-9397-08002B2CF9AE}" pid="59" name="Comparison_OpexForecast(Nom)17RowInsertions">
    <vt:lpwstr/>
  </property>
  <property fmtid="{D5CDD505-2E9C-101B-9397-08002B2CF9AE}" pid="60" name="Comparison_OpexForecast(Nom)17ColumnInsertions">
    <vt:lpwstr/>
  </property>
  <property fmtid="{D5CDD505-2E9C-101B-9397-08002B2CF9AE}" pid="61" name="Comparison_OpexForecast(Nom)17CellChanges1_1">
    <vt:lpwstr>CgAAAB+LCAAAAAAABAAzNzcxNjI2qnE0BAD0Bb+rCgAAAA==</vt:lpwstr>
  </property>
  <property fmtid="{D5CDD505-2E9C-101B-9397-08002B2CF9AE}" pid="62" name="Comparison_Forecast(Real)14RowInsertions">
    <vt:lpwstr/>
  </property>
  <property fmtid="{D5CDD505-2E9C-101B-9397-08002B2CF9AE}" pid="63" name="Comparison_Forecast(Real)14ColumnInsertions">
    <vt:lpwstr/>
  </property>
  <property fmtid="{D5CDD505-2E9C-101B-9397-08002B2CF9AE}" pid="64" name="Comparison_Forecast(Real)14CellChanges1_1">
    <vt:lpwstr>CgAAAB+LCAAAAAAABAAzNzcxNjI2qnE0BAD0Bb+rCgAAAA==</vt:lpwstr>
  </property>
  <property fmtid="{D5CDD505-2E9C-101B-9397-08002B2CF9AE}" pid="65" name="Comparison_O&gt;2RowInsertions">
    <vt:lpwstr/>
  </property>
  <property fmtid="{D5CDD505-2E9C-101B-9397-08002B2CF9AE}" pid="66" name="Comparison_O&gt;2ColumnInsertions">
    <vt:lpwstr/>
  </property>
  <property fmtid="{D5CDD505-2E9C-101B-9397-08002B2CF9AE}" pid="67" name="MSIP_Label_3196a3aa-34a9-4b82-9eed-745e5fc3f53e_Enabled">
    <vt:lpwstr>true</vt:lpwstr>
  </property>
  <property fmtid="{D5CDD505-2E9C-101B-9397-08002B2CF9AE}" pid="68" name="MSIP_Label_3196a3aa-34a9-4b82-9eed-745e5fc3f53e_SetDate">
    <vt:lpwstr>2021-08-03T11:26:00Z</vt:lpwstr>
  </property>
  <property fmtid="{D5CDD505-2E9C-101B-9397-08002B2CF9AE}" pid="69" name="MSIP_Label_3196a3aa-34a9-4b82-9eed-745e5fc3f53e_Method">
    <vt:lpwstr>Standard</vt:lpwstr>
  </property>
  <property fmtid="{D5CDD505-2E9C-101B-9397-08002B2CF9AE}" pid="70" name="MSIP_Label_3196a3aa-34a9-4b82-9eed-745e5fc3f53e_Name">
    <vt:lpwstr>3196a3aa-34a9-4b82-9eed-745e5fc3f53e</vt:lpwstr>
  </property>
  <property fmtid="{D5CDD505-2E9C-101B-9397-08002B2CF9AE}" pid="71" name="MSIP_Label_3196a3aa-34a9-4b82-9eed-745e5fc3f53e_SiteId">
    <vt:lpwstr>c4edd5ba-10c3-4fe3-946a-7c9c446ab8c8</vt:lpwstr>
  </property>
  <property fmtid="{D5CDD505-2E9C-101B-9397-08002B2CF9AE}" pid="72" name="MSIP_Label_3196a3aa-34a9-4b82-9eed-745e5fc3f53e_ActionId">
    <vt:lpwstr>a9812351-cb77-44e8-8b4b-39943decae95</vt:lpwstr>
  </property>
  <property fmtid="{D5CDD505-2E9C-101B-9397-08002B2CF9AE}" pid="73" name="MSIP_Label_3196a3aa-34a9-4b82-9eed-745e5fc3f53e_ContentBits">
    <vt:lpwstr>0</vt:lpwstr>
  </property>
  <property fmtid="{D5CDD505-2E9C-101B-9397-08002B2CF9AE}" pid="74" name="MSIP_Label_d04dfc70-0289-4bbf-a1df-2e48919102f8_Enabled">
    <vt:lpwstr>true</vt:lpwstr>
  </property>
  <property fmtid="{D5CDD505-2E9C-101B-9397-08002B2CF9AE}" pid="75" name="MSIP_Label_d04dfc70-0289-4bbf-a1df-2e48919102f8_SetDate">
    <vt:lpwstr>2024-01-03T11:38:21Z</vt:lpwstr>
  </property>
  <property fmtid="{D5CDD505-2E9C-101B-9397-08002B2CF9AE}" pid="76" name="MSIP_Label_d04dfc70-0289-4bbf-a1df-2e48919102f8_Method">
    <vt:lpwstr>Standard</vt:lpwstr>
  </property>
  <property fmtid="{D5CDD505-2E9C-101B-9397-08002B2CF9AE}" pid="77" name="MSIP_Label_d04dfc70-0289-4bbf-a1df-2e48919102f8_Name">
    <vt:lpwstr>Private2</vt:lpwstr>
  </property>
  <property fmtid="{D5CDD505-2E9C-101B-9397-08002B2CF9AE}" pid="78" name="MSIP_Label_d04dfc70-0289-4bbf-a1df-2e48919102f8_SiteId">
    <vt:lpwstr>92ebd22d-0a9c-4516-a68f-ba966853a8f3</vt:lpwstr>
  </property>
  <property fmtid="{D5CDD505-2E9C-101B-9397-08002B2CF9AE}" pid="79" name="MSIP_Label_d04dfc70-0289-4bbf-a1df-2e48919102f8_ActionId">
    <vt:lpwstr>92dd4735-e417-49c7-a156-c192ed4a2155</vt:lpwstr>
  </property>
  <property fmtid="{D5CDD505-2E9C-101B-9397-08002B2CF9AE}" pid="80" name="MSIP_Label_d04dfc70-0289-4bbf-a1df-2e48919102f8_ContentBits">
    <vt:lpwstr>0</vt:lpwstr>
  </property>
</Properties>
</file>