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yorkshirewater.sharepoint.com/teams/DeveloperServicesTeam/Communication  Customer Documents in Development/"/>
    </mc:Choice>
  </mc:AlternateContent>
  <xr:revisionPtr revIDLastSave="0" documentId="8_{9850D5AD-9167-4062-BDE5-7A2887DA1600}" xr6:coauthVersionLast="47" xr6:coauthVersionMax="47" xr10:uidLastSave="{00000000-0000-0000-0000-000000000000}"/>
  <workbookProtection workbookAlgorithmName="SHA-512" workbookHashValue="WRO2Rj3naxur8/dRhcZC/wTSzm4b8UyWcx6F91gvDXBvwWHVpkQLMkjVyYq7I6Z7ga6ROKK2y2KmsOxTLTQ05g==" workbookSaltValue="AOWYvcaqSScJV3ilyRdDlg==" workbookSpinCount="100000" lockStructure="1"/>
  <bookViews>
    <workbookView xWindow="28680" yWindow="-120" windowWidth="29040" windowHeight="15840" xr2:uid="{D6228E34-4E51-4D2A-B543-D2CAEEBED6D3}"/>
  </bookViews>
  <sheets>
    <sheet name="Terms Of Use" sheetId="21" r:id="rId1"/>
    <sheet name="Instructions" sheetId="1" r:id="rId2"/>
    <sheet name="Your Estimate" sheetId="22" r:id="rId3"/>
    <sheet name="1. Application Fees" sheetId="10" r:id="rId4"/>
    <sheet name="2. Branch Connections" sheetId="2" r:id="rId5"/>
    <sheet name="3. Main Laying" sheetId="3" r:id="rId6"/>
    <sheet name="4. Chlorinations For Self Laid" sheetId="5" r:id="rId7"/>
    <sheet name="5. Additional Phases" sheetId="4" r:id="rId8"/>
    <sheet name="6. On-site Service Connections" sheetId="11" r:id="rId9"/>
    <sheet name="7. On-site Manifolds" sheetId="12" r:id="rId10"/>
    <sheet name="8. Meters For Self Lay" sheetId="13" r:id="rId11"/>
    <sheet name="9. Meters For Flats" sheetId="18" r:id="rId12"/>
    <sheet name="10. Traffic Management" sheetId="14" state="hidden" r:id="rId13"/>
    <sheet name="10. Network Assembly" sheetId="9" r:id="rId14"/>
    <sheet name="12. Disconnection And Capping" sheetId="15" state="hidden" r:id="rId15"/>
    <sheet name="11. Infrastructure Charges" sheetId="16" r:id="rId16"/>
    <sheet name="12. NHH Infrastructure Charges" sheetId="19" r:id="rId17"/>
    <sheet name="Loading Units" sheetId="20" r:id="rId18"/>
    <sheet name="Lists" sheetId="8" state="hidden" r:id="rId19"/>
    <sheet name="Look Ups" sheetId="7" state="hidden"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8" l="1"/>
  <c r="J6" i="19" l="1"/>
  <c r="J7" i="19"/>
  <c r="J8" i="19"/>
  <c r="J9" i="19"/>
  <c r="J10" i="19"/>
  <c r="J11" i="19"/>
  <c r="J12" i="19"/>
  <c r="J13" i="19"/>
  <c r="J14" i="19"/>
  <c r="J15" i="19"/>
  <c r="J16" i="19"/>
  <c r="J17" i="19"/>
  <c r="J18" i="19"/>
  <c r="J19" i="19"/>
  <c r="J20" i="19"/>
  <c r="J21" i="19"/>
  <c r="J22" i="19"/>
  <c r="I6" i="19"/>
  <c r="I7" i="19"/>
  <c r="I8" i="19"/>
  <c r="I9" i="19"/>
  <c r="I10" i="19"/>
  <c r="I11" i="19"/>
  <c r="I12" i="19"/>
  <c r="I13" i="19"/>
  <c r="I14" i="19"/>
  <c r="I15" i="19"/>
  <c r="I16" i="19"/>
  <c r="I17" i="19"/>
  <c r="I18" i="19"/>
  <c r="I19" i="19"/>
  <c r="I20" i="19"/>
  <c r="I21" i="19"/>
  <c r="I22" i="19"/>
  <c r="H6" i="19"/>
  <c r="H7" i="19"/>
  <c r="H8" i="19"/>
  <c r="H9" i="19"/>
  <c r="H10" i="19"/>
  <c r="H11" i="19"/>
  <c r="H12" i="19"/>
  <c r="H13" i="19"/>
  <c r="H14" i="19"/>
  <c r="H15" i="19"/>
  <c r="H16" i="19"/>
  <c r="H17" i="19"/>
  <c r="H18" i="19"/>
  <c r="H19" i="19"/>
  <c r="H20" i="19"/>
  <c r="H21" i="19"/>
  <c r="H22" i="19"/>
  <c r="I5" i="19"/>
  <c r="H5" i="19"/>
  <c r="W5" i="8" l="1"/>
  <c r="W3" i="8"/>
  <c r="W4" i="8"/>
  <c r="W2" i="8"/>
  <c r="W1" i="8"/>
  <c r="G10" i="19"/>
  <c r="G22" i="19"/>
  <c r="G21" i="19"/>
  <c r="G20" i="19"/>
  <c r="G19" i="19"/>
  <c r="G18" i="19"/>
  <c r="G17" i="19"/>
  <c r="G16" i="19"/>
  <c r="G15" i="19"/>
  <c r="G14" i="19"/>
  <c r="G13" i="19"/>
  <c r="G12" i="19"/>
  <c r="G11" i="19"/>
  <c r="G9" i="19"/>
  <c r="G8" i="19"/>
  <c r="G7" i="19"/>
  <c r="G6" i="19"/>
  <c r="J5" i="19"/>
  <c r="D22" i="18"/>
  <c r="D21" i="18"/>
  <c r="D20" i="18"/>
  <c r="D19" i="18"/>
  <c r="D18" i="18"/>
  <c r="D17" i="18"/>
  <c r="D16" i="18"/>
  <c r="D15" i="18"/>
  <c r="D14" i="18"/>
  <c r="D13" i="18"/>
  <c r="D12" i="18"/>
  <c r="D11" i="18"/>
  <c r="D10" i="18"/>
  <c r="D9" i="18"/>
  <c r="D8" i="18"/>
  <c r="D6" i="18"/>
  <c r="D5" i="18"/>
  <c r="Q4" i="14"/>
  <c r="J6" i="16"/>
  <c r="J7" i="16"/>
  <c r="J8" i="16"/>
  <c r="J9" i="16"/>
  <c r="J10" i="16"/>
  <c r="J11" i="16"/>
  <c r="J12" i="16"/>
  <c r="J13" i="16"/>
  <c r="J14" i="16"/>
  <c r="J15" i="16"/>
  <c r="J16" i="16"/>
  <c r="J17" i="16"/>
  <c r="J18" i="16"/>
  <c r="J19" i="16"/>
  <c r="J20" i="16"/>
  <c r="J21" i="16"/>
  <c r="J22" i="16"/>
  <c r="I6" i="16"/>
  <c r="I7" i="16"/>
  <c r="I8" i="16"/>
  <c r="I9" i="16"/>
  <c r="I10" i="16"/>
  <c r="I11" i="16"/>
  <c r="I12" i="16"/>
  <c r="I13" i="16"/>
  <c r="I14" i="16"/>
  <c r="I15" i="16"/>
  <c r="I16" i="16"/>
  <c r="I17" i="16"/>
  <c r="I18" i="16"/>
  <c r="I19" i="16"/>
  <c r="I20" i="16"/>
  <c r="I21" i="16"/>
  <c r="I22" i="16"/>
  <c r="H6" i="16"/>
  <c r="G6" i="16" s="1"/>
  <c r="H7" i="16"/>
  <c r="G7" i="16" s="1"/>
  <c r="H8" i="16"/>
  <c r="G8" i="16" s="1"/>
  <c r="H9" i="16"/>
  <c r="G9" i="16" s="1"/>
  <c r="H10" i="16"/>
  <c r="H11" i="16"/>
  <c r="H12" i="16"/>
  <c r="G12" i="16" s="1"/>
  <c r="H13" i="16"/>
  <c r="G13" i="16" s="1"/>
  <c r="H14" i="16"/>
  <c r="G14" i="16" s="1"/>
  <c r="H15" i="16"/>
  <c r="G15" i="16" s="1"/>
  <c r="H16" i="16"/>
  <c r="G16" i="16" s="1"/>
  <c r="H17" i="16"/>
  <c r="G17" i="16" s="1"/>
  <c r="H18" i="16"/>
  <c r="G18" i="16" s="1"/>
  <c r="H19" i="16"/>
  <c r="H20" i="16"/>
  <c r="G20" i="16" s="1"/>
  <c r="H21" i="16"/>
  <c r="G21" i="16" s="1"/>
  <c r="H22" i="16"/>
  <c r="G11" i="16"/>
  <c r="G19" i="16"/>
  <c r="G22" i="16"/>
  <c r="J5" i="16"/>
  <c r="I5" i="16"/>
  <c r="H5" i="16"/>
  <c r="G10" i="16" l="1"/>
  <c r="W6" i="8"/>
  <c r="G5" i="19"/>
  <c r="G5" i="16"/>
  <c r="F19" i="22" l="1"/>
  <c r="D15" i="22"/>
  <c r="D25" i="22"/>
  <c r="B4" i="22"/>
  <c r="C2" i="19"/>
  <c r="C2" i="5"/>
  <c r="C2" i="16"/>
  <c r="C2" i="18"/>
  <c r="C2" i="12"/>
  <c r="C2" i="13"/>
  <c r="C2" i="11"/>
  <c r="D23" i="22"/>
  <c r="B1" i="14"/>
  <c r="D11" i="22"/>
  <c r="B1" i="15"/>
  <c r="N5" i="15"/>
  <c r="N6" i="15"/>
  <c r="N7" i="15"/>
  <c r="N8" i="15"/>
  <c r="N9" i="15"/>
  <c r="N10" i="15"/>
  <c r="N11" i="15"/>
  <c r="N12" i="15"/>
  <c r="N13" i="15"/>
  <c r="N14" i="15"/>
  <c r="N15" i="15"/>
  <c r="N16" i="15"/>
  <c r="N17" i="15"/>
  <c r="N18" i="15"/>
  <c r="N19" i="15"/>
  <c r="N20" i="15"/>
  <c r="M5" i="15"/>
  <c r="M6" i="15"/>
  <c r="M7" i="15"/>
  <c r="M8" i="15"/>
  <c r="M9" i="15"/>
  <c r="M10" i="15"/>
  <c r="M11" i="15"/>
  <c r="M12" i="15"/>
  <c r="M13" i="15"/>
  <c r="M14" i="15"/>
  <c r="M15" i="15"/>
  <c r="M16" i="15"/>
  <c r="M17" i="15"/>
  <c r="M18" i="15"/>
  <c r="M19" i="15"/>
  <c r="M20" i="15"/>
  <c r="M4" i="15"/>
  <c r="N4" i="15" s="1"/>
  <c r="BX9" i="7"/>
  <c r="BX10" i="7"/>
  <c r="BX11" i="7"/>
  <c r="BX12" i="7"/>
  <c r="BX13" i="7"/>
  <c r="BX14" i="7"/>
  <c r="BX15" i="7"/>
  <c r="BX16" i="7"/>
  <c r="BX17" i="7"/>
  <c r="BX18" i="7"/>
  <c r="BX19" i="7"/>
  <c r="BX20" i="7"/>
  <c r="BX21" i="7"/>
  <c r="BX22" i="7"/>
  <c r="BX23" i="7"/>
  <c r="BX24" i="7"/>
  <c r="BX25" i="7"/>
  <c r="BX26" i="7"/>
  <c r="BX27" i="7"/>
  <c r="BX28" i="7"/>
  <c r="BX29" i="7"/>
  <c r="BX30" i="7"/>
  <c r="BX31" i="7"/>
  <c r="BX8" i="7"/>
  <c r="D5" i="15"/>
  <c r="D6" i="15"/>
  <c r="D7" i="15"/>
  <c r="D8" i="15"/>
  <c r="D9" i="15"/>
  <c r="D10" i="15"/>
  <c r="D11" i="15"/>
  <c r="D12" i="15"/>
  <c r="D13" i="15"/>
  <c r="D14" i="15"/>
  <c r="D15" i="15"/>
  <c r="D16" i="15"/>
  <c r="D17" i="15"/>
  <c r="D18" i="15"/>
  <c r="D19" i="15"/>
  <c r="D20" i="15"/>
  <c r="C5" i="15"/>
  <c r="C6" i="15"/>
  <c r="C7" i="15"/>
  <c r="C8" i="15"/>
  <c r="C9" i="15"/>
  <c r="C10" i="15"/>
  <c r="C11" i="15"/>
  <c r="C12" i="15"/>
  <c r="C13" i="15"/>
  <c r="C14" i="15"/>
  <c r="C15" i="15"/>
  <c r="C16" i="15"/>
  <c r="C17" i="15"/>
  <c r="C18" i="15"/>
  <c r="C19" i="15"/>
  <c r="C20" i="15"/>
  <c r="C4" i="15"/>
  <c r="D4" i="15" s="1"/>
  <c r="BS15" i="7"/>
  <c r="BS14" i="7"/>
  <c r="BS13" i="7"/>
  <c r="BS12" i="7"/>
  <c r="BS11" i="7"/>
  <c r="BS10" i="7"/>
  <c r="BS9" i="7"/>
  <c r="BS8" i="7"/>
  <c r="Q6" i="14"/>
  <c r="Q5" i="14"/>
  <c r="Q3" i="14"/>
  <c r="D4" i="14"/>
  <c r="D6" i="14"/>
  <c r="D7" i="14"/>
  <c r="D8" i="14"/>
  <c r="D9" i="14"/>
  <c r="D10" i="14"/>
  <c r="D11" i="14"/>
  <c r="D12" i="14"/>
  <c r="D13" i="14"/>
  <c r="D14" i="14"/>
  <c r="D15" i="14"/>
  <c r="D16" i="14"/>
  <c r="D17" i="14"/>
  <c r="D18" i="14"/>
  <c r="D19" i="14"/>
  <c r="D20" i="14"/>
  <c r="C4" i="14"/>
  <c r="C5" i="14"/>
  <c r="C6" i="14"/>
  <c r="C7" i="14"/>
  <c r="C8" i="14"/>
  <c r="C9" i="14"/>
  <c r="C10" i="14"/>
  <c r="C11" i="14"/>
  <c r="C12" i="14"/>
  <c r="C13" i="14"/>
  <c r="C14" i="14"/>
  <c r="C15" i="14"/>
  <c r="C16" i="14"/>
  <c r="C17" i="14"/>
  <c r="C18" i="14"/>
  <c r="C19" i="14"/>
  <c r="C20" i="14"/>
  <c r="C3" i="14"/>
  <c r="D3" i="14" s="1"/>
  <c r="D6" i="13"/>
  <c r="D7" i="13"/>
  <c r="D8" i="13"/>
  <c r="D9" i="13"/>
  <c r="D10" i="13"/>
  <c r="D11" i="13"/>
  <c r="D12" i="13"/>
  <c r="D13" i="13"/>
  <c r="D14" i="13"/>
  <c r="D15" i="13"/>
  <c r="D16" i="13"/>
  <c r="D17" i="13"/>
  <c r="D18" i="13"/>
  <c r="D19" i="13"/>
  <c r="D20" i="13"/>
  <c r="D21" i="13"/>
  <c r="D22" i="13"/>
  <c r="D5" i="13"/>
  <c r="E6" i="12"/>
  <c r="E7" i="12"/>
  <c r="E8" i="12"/>
  <c r="E9" i="12"/>
  <c r="E10" i="12"/>
  <c r="E11" i="12"/>
  <c r="E12" i="12"/>
  <c r="E13" i="12"/>
  <c r="E14" i="12"/>
  <c r="E15" i="12"/>
  <c r="E16" i="12"/>
  <c r="E17" i="12"/>
  <c r="E18" i="12"/>
  <c r="E19" i="12"/>
  <c r="E20" i="12"/>
  <c r="E21" i="12"/>
  <c r="E22" i="12"/>
  <c r="E5" i="12"/>
  <c r="BE10" i="7"/>
  <c r="BE11" i="7"/>
  <c r="BE12" i="7"/>
  <c r="BE13" i="7"/>
  <c r="BE9" i="7"/>
  <c r="BD10" i="7"/>
  <c r="BD11" i="7"/>
  <c r="BD12" i="7"/>
  <c r="BD13" i="7"/>
  <c r="BD14" i="7"/>
  <c r="BD15" i="7"/>
  <c r="BD16" i="7"/>
  <c r="BD17" i="7"/>
  <c r="BD18" i="7"/>
  <c r="BD9" i="7"/>
  <c r="F6" i="11"/>
  <c r="F7" i="11"/>
  <c r="G7" i="11" s="1"/>
  <c r="F8" i="11"/>
  <c r="G8" i="11" s="1"/>
  <c r="F9" i="11"/>
  <c r="F10" i="11"/>
  <c r="F11" i="11"/>
  <c r="F12" i="11"/>
  <c r="F13" i="11"/>
  <c r="F14" i="11"/>
  <c r="F15" i="11"/>
  <c r="G15" i="11" s="1"/>
  <c r="F16" i="11"/>
  <c r="F17" i="11"/>
  <c r="F18" i="11"/>
  <c r="F19" i="11"/>
  <c r="F20" i="11"/>
  <c r="F21" i="11"/>
  <c r="F22" i="11"/>
  <c r="F5" i="11"/>
  <c r="AX11" i="7"/>
  <c r="AX12" i="7"/>
  <c r="AX13" i="7"/>
  <c r="AX14" i="7"/>
  <c r="AX15" i="7"/>
  <c r="AX16" i="7"/>
  <c r="AX17" i="7"/>
  <c r="AX18" i="7"/>
  <c r="AX19" i="7"/>
  <c r="AX20" i="7"/>
  <c r="AX21" i="7"/>
  <c r="AX10" i="7"/>
  <c r="E6" i="10"/>
  <c r="E7" i="10"/>
  <c r="E8" i="10"/>
  <c r="E9" i="10"/>
  <c r="E10" i="10"/>
  <c r="E11" i="10"/>
  <c r="E12" i="10"/>
  <c r="E13" i="10"/>
  <c r="E14" i="10"/>
  <c r="E15" i="10"/>
  <c r="E16" i="10"/>
  <c r="E17" i="10"/>
  <c r="E18" i="10"/>
  <c r="E19" i="10"/>
  <c r="E20" i="10"/>
  <c r="E21" i="10"/>
  <c r="E22" i="10"/>
  <c r="E5" i="10"/>
  <c r="I5" i="10" s="1"/>
  <c r="AG16" i="7"/>
  <c r="AG17" i="7"/>
  <c r="AG18" i="7"/>
  <c r="AF12" i="7"/>
  <c r="AF13" i="7"/>
  <c r="AF14" i="7"/>
  <c r="AF15" i="7"/>
  <c r="AF16" i="7"/>
  <c r="AF17" i="7"/>
  <c r="AF18" i="7"/>
  <c r="AF19" i="7"/>
  <c r="AF20" i="7"/>
  <c r="AF21" i="7"/>
  <c r="AF22" i="7"/>
  <c r="AF23" i="7"/>
  <c r="AF24" i="7"/>
  <c r="AF25" i="7"/>
  <c r="AF26" i="7"/>
  <c r="AF11" i="7"/>
  <c r="AK12" i="7"/>
  <c r="AG12" i="7" s="1"/>
  <c r="AK13" i="7"/>
  <c r="AG13" i="7" s="1"/>
  <c r="AK14" i="7"/>
  <c r="AG14" i="7" s="1"/>
  <c r="AK15" i="7"/>
  <c r="AG15" i="7" s="1"/>
  <c r="AK16" i="7"/>
  <c r="AK17" i="7"/>
  <c r="AK18" i="7"/>
  <c r="AK19" i="7"/>
  <c r="AG19" i="7" s="1"/>
  <c r="AK20" i="7"/>
  <c r="AG20" i="7" s="1"/>
  <c r="AK21" i="7"/>
  <c r="AG21" i="7" s="1"/>
  <c r="AK22" i="7"/>
  <c r="AG22" i="7" s="1"/>
  <c r="AK11" i="7"/>
  <c r="AG11" i="7" s="1"/>
  <c r="F6" i="2"/>
  <c r="F7" i="2"/>
  <c r="F8" i="2"/>
  <c r="F9" i="2"/>
  <c r="F10" i="2"/>
  <c r="F11" i="2"/>
  <c r="F12" i="2"/>
  <c r="F13" i="2"/>
  <c r="F14" i="2"/>
  <c r="F15" i="2"/>
  <c r="F16" i="2"/>
  <c r="F17" i="2"/>
  <c r="F18" i="2"/>
  <c r="F19" i="2"/>
  <c r="F20" i="2"/>
  <c r="F21" i="2"/>
  <c r="F22" i="2"/>
  <c r="F5" i="2"/>
  <c r="G5" i="2" s="1"/>
  <c r="C2" i="2" s="1"/>
  <c r="E58" i="7"/>
  <c r="E57" i="7"/>
  <c r="E56" i="7"/>
  <c r="E55" i="7"/>
  <c r="E54" i="7"/>
  <c r="E53" i="7"/>
  <c r="E52" i="7"/>
  <c r="E51" i="7"/>
  <c r="E50" i="7"/>
  <c r="E49" i="7"/>
  <c r="E48" i="7"/>
  <c r="E47" i="7"/>
  <c r="E46" i="7"/>
  <c r="E45" i="7"/>
  <c r="E44" i="7"/>
  <c r="E43" i="7"/>
  <c r="E42" i="7"/>
  <c r="E41" i="7"/>
  <c r="E40" i="7"/>
  <c r="E39" i="7"/>
  <c r="E38" i="7"/>
  <c r="E37" i="7"/>
  <c r="E36" i="7"/>
  <c r="E35" i="7"/>
  <c r="D36" i="7"/>
  <c r="D37" i="7"/>
  <c r="D38" i="7"/>
  <c r="D39" i="7"/>
  <c r="D40" i="7"/>
  <c r="D41" i="7"/>
  <c r="D42" i="7"/>
  <c r="D43" i="7"/>
  <c r="D44" i="7"/>
  <c r="D45" i="7"/>
  <c r="D46" i="7"/>
  <c r="D47" i="7"/>
  <c r="D48" i="7"/>
  <c r="D49" i="7"/>
  <c r="D50" i="7"/>
  <c r="D51" i="7"/>
  <c r="D52" i="7"/>
  <c r="D53" i="7"/>
  <c r="D54" i="7"/>
  <c r="D55" i="7"/>
  <c r="D56" i="7"/>
  <c r="D57" i="7"/>
  <c r="D58" i="7"/>
  <c r="D35" i="7"/>
  <c r="D34" i="7"/>
  <c r="D12" i="7"/>
  <c r="D13" i="7"/>
  <c r="D14" i="7"/>
  <c r="D15" i="7"/>
  <c r="D16" i="7"/>
  <c r="D17" i="7"/>
  <c r="D18" i="7"/>
  <c r="D19" i="7"/>
  <c r="D20" i="7"/>
  <c r="D21" i="7"/>
  <c r="D22" i="7"/>
  <c r="D23" i="7"/>
  <c r="D24" i="7"/>
  <c r="D25" i="7"/>
  <c r="D26" i="7"/>
  <c r="D27" i="7"/>
  <c r="D28" i="7"/>
  <c r="D29" i="7"/>
  <c r="D30" i="7"/>
  <c r="D31" i="7"/>
  <c r="D32" i="7"/>
  <c r="D33" i="7"/>
  <c r="D11" i="7"/>
  <c r="F6" i="9"/>
  <c r="F7" i="9"/>
  <c r="F8" i="9"/>
  <c r="F9" i="9"/>
  <c r="F10" i="9"/>
  <c r="F11" i="9"/>
  <c r="F12" i="9"/>
  <c r="F13" i="9"/>
  <c r="F14" i="9"/>
  <c r="F15" i="9"/>
  <c r="F16" i="9"/>
  <c r="F17" i="9"/>
  <c r="F18" i="9"/>
  <c r="F19" i="9"/>
  <c r="F20" i="9"/>
  <c r="F21" i="9"/>
  <c r="F22" i="9"/>
  <c r="D6" i="5"/>
  <c r="E6" i="5" s="1"/>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5" i="5"/>
  <c r="E5" i="5" s="1"/>
  <c r="G6" i="3"/>
  <c r="H6" i="3" s="1"/>
  <c r="G7" i="3"/>
  <c r="I7" i="3" s="1"/>
  <c r="G8" i="3"/>
  <c r="I8" i="3" s="1"/>
  <c r="G9" i="3"/>
  <c r="H9" i="3" s="1"/>
  <c r="G10" i="3"/>
  <c r="H10" i="3" s="1"/>
  <c r="G11" i="3"/>
  <c r="I11" i="3" s="1"/>
  <c r="G12" i="3"/>
  <c r="H12" i="3" s="1"/>
  <c r="G13" i="3"/>
  <c r="H13" i="3" s="1"/>
  <c r="G14" i="3"/>
  <c r="H14" i="3" s="1"/>
  <c r="G15" i="3"/>
  <c r="H15" i="3" s="1"/>
  <c r="G16" i="3"/>
  <c r="I16" i="3" s="1"/>
  <c r="G17" i="3"/>
  <c r="H17" i="3" s="1"/>
  <c r="G18" i="3"/>
  <c r="I18" i="3" s="1"/>
  <c r="G19" i="3"/>
  <c r="I19" i="3" s="1"/>
  <c r="G20" i="3"/>
  <c r="H20" i="3" s="1"/>
  <c r="G21" i="3"/>
  <c r="H21" i="3" s="1"/>
  <c r="G22" i="3"/>
  <c r="H22" i="3"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F5" i="9"/>
  <c r="Y12" i="7"/>
  <c r="Y13" i="7"/>
  <c r="Y14" i="7"/>
  <c r="Y15" i="7"/>
  <c r="Y16" i="7"/>
  <c r="Y17" i="7"/>
  <c r="Y18" i="7"/>
  <c r="Y11" i="7"/>
  <c r="D5" i="4"/>
  <c r="E5" i="4" s="1"/>
  <c r="C2" i="4" s="1"/>
  <c r="G5" i="3"/>
  <c r="I5" i="3" s="1"/>
  <c r="F13" i="12" l="1"/>
  <c r="F17" i="12"/>
  <c r="G6" i="11"/>
  <c r="G9" i="11"/>
  <c r="I10" i="3"/>
  <c r="J10" i="3" s="1"/>
  <c r="H19" i="3"/>
  <c r="J19" i="3" s="1"/>
  <c r="H16" i="3"/>
  <c r="J16" i="3" s="1"/>
  <c r="H11" i="3"/>
  <c r="J11" i="3" s="1"/>
  <c r="H8" i="3"/>
  <c r="J8" i="3" s="1"/>
  <c r="I13" i="3"/>
  <c r="J13" i="3" s="1"/>
  <c r="I12" i="3"/>
  <c r="J12" i="3" s="1"/>
  <c r="I15" i="3"/>
  <c r="J15" i="3" s="1"/>
  <c r="I22" i="3"/>
  <c r="J22" i="3" s="1"/>
  <c r="I14" i="3"/>
  <c r="J14" i="3" s="1"/>
  <c r="I21" i="3"/>
  <c r="J21" i="3" s="1"/>
  <c r="I20" i="3"/>
  <c r="J20" i="3" s="1"/>
  <c r="H18" i="3"/>
  <c r="J18" i="3" s="1"/>
  <c r="I17" i="3"/>
  <c r="J17" i="3" s="1"/>
  <c r="I9" i="3"/>
  <c r="J9" i="3" s="1"/>
  <c r="H16" i="10"/>
  <c r="I16" i="10"/>
  <c r="F16" i="10"/>
  <c r="G16" i="10"/>
  <c r="G14" i="10"/>
  <c r="F14" i="10"/>
  <c r="H14" i="10"/>
  <c r="I14" i="10"/>
  <c r="F20" i="10"/>
  <c r="H20" i="10"/>
  <c r="I20" i="10"/>
  <c r="G20" i="10"/>
  <c r="F12" i="10"/>
  <c r="H12" i="10"/>
  <c r="G12" i="10"/>
  <c r="I12" i="10"/>
  <c r="H19" i="10"/>
  <c r="I19" i="10"/>
  <c r="G19" i="10"/>
  <c r="F19" i="10"/>
  <c r="G11" i="10"/>
  <c r="H11" i="10"/>
  <c r="F11" i="10"/>
  <c r="I11" i="10"/>
  <c r="F18" i="10"/>
  <c r="G18" i="10"/>
  <c r="H18" i="10"/>
  <c r="I18" i="10"/>
  <c r="G22" i="10"/>
  <c r="F22" i="10"/>
  <c r="H22" i="10"/>
  <c r="I22" i="10"/>
  <c r="F17" i="10"/>
  <c r="H17" i="10"/>
  <c r="G17" i="10"/>
  <c r="I17" i="10"/>
  <c r="F9" i="10"/>
  <c r="G9" i="10"/>
  <c r="H9" i="10"/>
  <c r="I9" i="10"/>
  <c r="I15" i="10"/>
  <c r="G15" i="10"/>
  <c r="F15" i="10"/>
  <c r="H15" i="10"/>
  <c r="H7" i="10"/>
  <c r="I7" i="10"/>
  <c r="F7" i="10"/>
  <c r="G7" i="10"/>
  <c r="F8" i="10"/>
  <c r="H8" i="10"/>
  <c r="G8" i="10"/>
  <c r="I8" i="10"/>
  <c r="F21" i="10"/>
  <c r="H21" i="10"/>
  <c r="I21" i="10"/>
  <c r="G21" i="10"/>
  <c r="F13" i="10"/>
  <c r="H13" i="10"/>
  <c r="G13" i="10"/>
  <c r="I13" i="10"/>
  <c r="I10" i="10"/>
  <c r="F10" i="10"/>
  <c r="H10" i="10"/>
  <c r="I6" i="10"/>
  <c r="H6" i="10"/>
  <c r="F6" i="10"/>
  <c r="H5" i="10"/>
  <c r="F5" i="10"/>
  <c r="G10" i="10"/>
  <c r="G5" i="10"/>
  <c r="H7" i="3"/>
  <c r="J7" i="3" s="1"/>
  <c r="G6" i="10"/>
  <c r="I6" i="3"/>
  <c r="J6" i="3" s="1"/>
  <c r="G22" i="11"/>
  <c r="G14" i="11"/>
  <c r="F7" i="12"/>
  <c r="G8" i="9"/>
  <c r="H8" i="9" s="1"/>
  <c r="G21" i="11"/>
  <c r="G13" i="11"/>
  <c r="F22" i="12"/>
  <c r="F12" i="12"/>
  <c r="F19" i="12"/>
  <c r="F11" i="12"/>
  <c r="G5" i="9"/>
  <c r="H5" i="9" s="1"/>
  <c r="D2" i="9" s="1"/>
  <c r="G9" i="2"/>
  <c r="G20" i="11"/>
  <c r="G12" i="11"/>
  <c r="F21" i="12"/>
  <c r="F10" i="12"/>
  <c r="G21" i="9"/>
  <c r="H21" i="9" s="1"/>
  <c r="G10" i="2"/>
  <c r="G19" i="11"/>
  <c r="G11" i="11"/>
  <c r="F20" i="12"/>
  <c r="F9" i="12"/>
  <c r="G18" i="11"/>
  <c r="G10" i="11"/>
  <c r="F18" i="12"/>
  <c r="F6" i="12"/>
  <c r="F16" i="12"/>
  <c r="F8" i="12"/>
  <c r="G17" i="11"/>
  <c r="F5" i="12"/>
  <c r="G5" i="11"/>
  <c r="G16" i="11"/>
  <c r="F15" i="12"/>
  <c r="F14" i="12"/>
  <c r="G6" i="9"/>
  <c r="H6" i="9" s="1"/>
  <c r="G17" i="2"/>
  <c r="G20" i="9"/>
  <c r="H20" i="9" s="1"/>
  <c r="G15" i="2"/>
  <c r="G7" i="2"/>
  <c r="G22" i="9"/>
  <c r="H22" i="9" s="1"/>
  <c r="G19" i="9"/>
  <c r="H19" i="9" s="1"/>
  <c r="G22" i="2"/>
  <c r="G14" i="2"/>
  <c r="G6" i="2"/>
  <c r="G8" i="2"/>
  <c r="G16" i="9"/>
  <c r="H16" i="9" s="1"/>
  <c r="G18" i="9"/>
  <c r="H18" i="9" s="1"/>
  <c r="G10" i="9"/>
  <c r="H10" i="9" s="1"/>
  <c r="G21" i="2"/>
  <c r="G13" i="2"/>
  <c r="G14" i="9"/>
  <c r="H14" i="9" s="1"/>
  <c r="G13" i="9"/>
  <c r="H13" i="9" s="1"/>
  <c r="G12" i="9"/>
  <c r="H12" i="9" s="1"/>
  <c r="G17" i="9"/>
  <c r="H17" i="9" s="1"/>
  <c r="G9" i="9"/>
  <c r="H9" i="9" s="1"/>
  <c r="G20" i="2"/>
  <c r="G12" i="2"/>
  <c r="G16" i="2"/>
  <c r="G11" i="9"/>
  <c r="H11" i="9" s="1"/>
  <c r="G19" i="2"/>
  <c r="G11" i="2"/>
  <c r="G15" i="9"/>
  <c r="H15" i="9" s="1"/>
  <c r="G7" i="9"/>
  <c r="H7" i="9" s="1"/>
  <c r="G18" i="2"/>
  <c r="H5" i="3"/>
  <c r="J5" i="3" s="1"/>
  <c r="C2" i="3" s="1"/>
  <c r="C2" i="10" l="1"/>
  <c r="A1" i="7" s="1"/>
  <c r="F13" i="22" l="1"/>
  <c r="F17" i="22" s="1"/>
  <c r="F8" i="22"/>
  <c r="F21" i="22"/>
</calcChain>
</file>

<file path=xl/sharedStrings.xml><?xml version="1.0" encoding="utf-8"?>
<sst xmlns="http://schemas.openxmlformats.org/spreadsheetml/2006/main" count="732" uniqueCount="247">
  <si>
    <t>Diameter</t>
  </si>
  <si>
    <t>Barrier Pipe</t>
  </si>
  <si>
    <t>Yorkshire Water</t>
  </si>
  <si>
    <t>Customer</t>
  </si>
  <si>
    <t>Road</t>
  </si>
  <si>
    <t>Footpath</t>
  </si>
  <si>
    <t>Unmade Ground</t>
  </si>
  <si>
    <t>Lookup Code</t>
  </si>
  <si>
    <t>63-125mm</t>
  </si>
  <si>
    <t>160-225mm</t>
  </si>
  <si>
    <t>250-400mm</t>
  </si>
  <si>
    <t>450-560mm</t>
  </si>
  <si>
    <t>BRANCH CONNECTIONS</t>
  </si>
  <si>
    <t>Cost</t>
  </si>
  <si>
    <t>Lookup code</t>
  </si>
  <si>
    <t>Metres</t>
  </si>
  <si>
    <t>Yes</t>
  </si>
  <si>
    <t>No</t>
  </si>
  <si>
    <t>Cost Per M</t>
  </si>
  <si>
    <t>Yorkshire WaterRoad63-125mmYes</t>
  </si>
  <si>
    <t>Yorkshire WaterRoad160-225mmYes</t>
  </si>
  <si>
    <t>Yorkshire WaterRoad250-400mmYes</t>
  </si>
  <si>
    <t>Yorkshire WaterRoad450-560mmYes</t>
  </si>
  <si>
    <t>Yorkshire WaterFootpath63-125mmYes</t>
  </si>
  <si>
    <t>Yorkshire WaterFootpath160-225mmYes</t>
  </si>
  <si>
    <t>Yorkshire WaterFootpath250-400mmYes</t>
  </si>
  <si>
    <t>Yorkshire WaterFootpath450-560mmYes</t>
  </si>
  <si>
    <t>Yorkshire WaterUnmade Ground63-125mmYes</t>
  </si>
  <si>
    <t>Yorkshire WaterUnmade Ground160-225mmYes</t>
  </si>
  <si>
    <t>Yorkshire WaterUnmade Ground250-400mmYes</t>
  </si>
  <si>
    <t>Yorkshire WaterUnmade Ground450-560mmYes</t>
  </si>
  <si>
    <t>CustomerRoad63-125mmYes</t>
  </si>
  <si>
    <t>CustomerRoad160-225mmYes</t>
  </si>
  <si>
    <t>CustomerRoad250-400mmYes</t>
  </si>
  <si>
    <t>CustomerRoad450-560mmYes</t>
  </si>
  <si>
    <t>CustomerFootpath63-125mmYes</t>
  </si>
  <si>
    <t>CustomerFootpath160-225mmYes</t>
  </si>
  <si>
    <t>CustomerFootpath250-400mmYes</t>
  </si>
  <si>
    <t>CustomerFootpath450-560mmYes</t>
  </si>
  <si>
    <t>CustomerUnmade Ground63-125mmYes</t>
  </si>
  <si>
    <t>CustomerUnmade Ground160-225mmYes</t>
  </si>
  <si>
    <t>CustomerUnmade Ground250-400mmYes</t>
  </si>
  <si>
    <t>CustomerUnmade Ground450-560mmYes</t>
  </si>
  <si>
    <t>Yorkshire WaterRoad63-125mmNo</t>
  </si>
  <si>
    <t>Yorkshire WaterRoad160-225mmNo</t>
  </si>
  <si>
    <t>Yorkshire WaterRoad250-400mmNo</t>
  </si>
  <si>
    <t>Yorkshire WaterRoad450-560mmNo</t>
  </si>
  <si>
    <t>Yorkshire WaterFootpath63-125mmNo</t>
  </si>
  <si>
    <t>Yorkshire WaterFootpath160-225mmNo</t>
  </si>
  <si>
    <t>Yorkshire WaterFootpath250-400mmNo</t>
  </si>
  <si>
    <t>Yorkshire WaterFootpath450-560mmNo</t>
  </si>
  <si>
    <t>Yorkshire WaterUnmade Ground63-125mmNo</t>
  </si>
  <si>
    <t>Yorkshire WaterUnmade Ground160-225mmNo</t>
  </si>
  <si>
    <t>Yorkshire WaterUnmade Ground250-400mmNo</t>
  </si>
  <si>
    <t>Yorkshire WaterUnmade Ground450-560mmNo</t>
  </si>
  <si>
    <t>CustomerRoad63-125mmNo</t>
  </si>
  <si>
    <t>CustomerRoad160-225mmNo</t>
  </si>
  <si>
    <t>CustomerRoad250-400mmNo</t>
  </si>
  <si>
    <t>CustomerRoad450-560mmNo</t>
  </si>
  <si>
    <t>CustomerFootpath63-125mmNo</t>
  </si>
  <si>
    <t>CustomerFootpath160-225mmNo</t>
  </si>
  <si>
    <t>CustomerFootpath250-400mmNo</t>
  </si>
  <si>
    <t>CustomerFootpath450-560mmNo</t>
  </si>
  <si>
    <t>CustomerUnmade Ground63-125mmNo</t>
  </si>
  <si>
    <t>CustomerUnmade Ground160-225mmNo</t>
  </si>
  <si>
    <t>CustomerUnmade Ground250-400mmNo</t>
  </si>
  <si>
    <t>CustomerUnmade Ground450-560mmNo</t>
  </si>
  <si>
    <t>Barrier Pipe Uplift</t>
  </si>
  <si>
    <t>Yorkshire WaterYes</t>
  </si>
  <si>
    <t>CustomerYes</t>
  </si>
  <si>
    <t>Yorkshire WaterNo</t>
  </si>
  <si>
    <t>CustomerNo</t>
  </si>
  <si>
    <t>PIECE THROUGHS</t>
  </si>
  <si>
    <t>Initial Cost</t>
  </si>
  <si>
    <t>Cost Per Fitting</t>
  </si>
  <si>
    <t>CHLORINATIONS</t>
  </si>
  <si>
    <t>MAINS LAYING</t>
  </si>
  <si>
    <t>Total Cost</t>
  </si>
  <si>
    <t>SubTotal</t>
  </si>
  <si>
    <t>Sub Total</t>
  </si>
  <si>
    <t>Subtotal</t>
  </si>
  <si>
    <t>NETWORK ASSEMBLY</t>
  </si>
  <si>
    <t>SLP</t>
  </si>
  <si>
    <t>NAV Scheme</t>
  </si>
  <si>
    <t>1-100</t>
  </si>
  <si>
    <t>101-200</t>
  </si>
  <si>
    <t>201+</t>
  </si>
  <si>
    <t>277 App Fee + 1380 Design Fee + 217 Call Off + 46 Fire Consultation</t>
  </si>
  <si>
    <t>50 NAV Admin + 445 BSA Fee + 217 Call Off + 46 Fire Consultation</t>
  </si>
  <si>
    <t>277 App Fee + 1740 Design Fee + 217 Call Off + 46 Fire Consultation</t>
  </si>
  <si>
    <t>277 App Fee + 2282 Design Fee + 217 Call Off + 46 Fire Consultation</t>
  </si>
  <si>
    <t>Total</t>
  </si>
  <si>
    <t>Call Off Fee</t>
  </si>
  <si>
    <t>Fire Consultation Fee</t>
  </si>
  <si>
    <t>Self Lay Legal Agreement Fee</t>
  </si>
  <si>
    <t>277 App Fee + 218 Design Fee + 217 Call Off + 46 Fire Consultation + 42 Self lay legal agreement fee</t>
  </si>
  <si>
    <t>277 App Fee + 1740 Design Fee + 217 Call Off + 46 Fire Consultation + 42 Self lay legal agreement fee</t>
  </si>
  <si>
    <t>277 App Fee + 2282 Design Fee + 217 Call Off + 46 Fire Consultation + 42 Self lay legal agreement fee</t>
  </si>
  <si>
    <t>Application Fee</t>
  </si>
  <si>
    <t>Design Fee</t>
  </si>
  <si>
    <t>Application &amp; Design Fee</t>
  </si>
  <si>
    <t>277 App Fee + 1380 Design Fee + 217 Call Off + 46 Fire Consultation + 42 Self lay legal agreement fee</t>
  </si>
  <si>
    <t>VLOOKUP Code</t>
  </si>
  <si>
    <t>Not Applicable</t>
  </si>
  <si>
    <t>Meter?</t>
  </si>
  <si>
    <t>25-32mm</t>
  </si>
  <si>
    <t>63-90mm</t>
  </si>
  <si>
    <t>110-125mm</t>
  </si>
  <si>
    <t>ADMIN AND DESIGN FEES</t>
  </si>
  <si>
    <t>Barrier</t>
  </si>
  <si>
    <t>Meter</t>
  </si>
  <si>
    <t>LOOKUP Code</t>
  </si>
  <si>
    <t>4 Way</t>
  </si>
  <si>
    <t>5 Way</t>
  </si>
  <si>
    <t>6 Way</t>
  </si>
  <si>
    <t>7 Way</t>
  </si>
  <si>
    <t>8 Way</t>
  </si>
  <si>
    <t>On site single service connections</t>
  </si>
  <si>
    <t>Manifolds</t>
  </si>
  <si>
    <t>Onsite manifolds</t>
  </si>
  <si>
    <t>15mm Manifold</t>
  </si>
  <si>
    <t>15mm In-Line</t>
  </si>
  <si>
    <t>20mm Manifold</t>
  </si>
  <si>
    <t>20mm In-Line</t>
  </si>
  <si>
    <t>25mm In-Line</t>
  </si>
  <si>
    <t>30mm In-Line</t>
  </si>
  <si>
    <t>40mm In-Line</t>
  </si>
  <si>
    <t>50mm In-Line</t>
  </si>
  <si>
    <t>80mm In-Line</t>
  </si>
  <si>
    <t>100mm In-Line</t>
  </si>
  <si>
    <t>Housing Unit</t>
  </si>
  <si>
    <t>Item</t>
  </si>
  <si>
    <t>Full Road Closure</t>
  </si>
  <si>
    <t>Lane Closure (up to and including 40mph)</t>
  </si>
  <si>
    <t>Lane Closure (over 40mph)</t>
  </si>
  <si>
    <t>Contraflow</t>
  </si>
  <si>
    <t>Narrow Lane</t>
  </si>
  <si>
    <t>2-way Traffic Lights</t>
  </si>
  <si>
    <t>3-way Traffic Lights</t>
  </si>
  <si>
    <t>4-way Traffic Lights</t>
  </si>
  <si>
    <t>Bagging Off Existing Traffic Lights</t>
  </si>
  <si>
    <t>Manual Control Of Traffic Lights (Peak Hours)</t>
  </si>
  <si>
    <t>Manual Control Of Traffic Lights / Stop-And-Go Signs (Off Peak Hours)</t>
  </si>
  <si>
    <t>Stop-And-Go Signs Set-Up, Removal, Hire And Maintenance</t>
  </si>
  <si>
    <t>Impact Protection Vehichle</t>
  </si>
  <si>
    <t>Change Of Traffic Lights Battery</t>
  </si>
  <si>
    <t>Temporary Pedestrian Crossing</t>
  </si>
  <si>
    <t>Meters</t>
  </si>
  <si>
    <t>Up To 5</t>
  </si>
  <si>
    <t>Additional Day</t>
  </si>
  <si>
    <t>Y</t>
  </si>
  <si>
    <t>N</t>
  </si>
  <si>
    <t>Up25?</t>
  </si>
  <si>
    <t>Volume</t>
  </si>
  <si>
    <t>Move/Reset Of Traffic Management Equipment</t>
  </si>
  <si>
    <t>Excavation By Customer</t>
  </si>
  <si>
    <t>Excavation By Yorkshire Water</t>
  </si>
  <si>
    <t>Ground Type</t>
  </si>
  <si>
    <t>Excavation Required Above 1.5 Cubic Meters</t>
  </si>
  <si>
    <t>Backfill &amp; Reinstatement Required In Squared Meters</t>
  </si>
  <si>
    <t>Disconnection</t>
  </si>
  <si>
    <t>Cap</t>
  </si>
  <si>
    <t>Under 150mm</t>
  </si>
  <si>
    <t>150mm to &lt;300mm</t>
  </si>
  <si>
    <t>300mm to &lt;450mm</t>
  </si>
  <si>
    <t>450mm to &lt;600mm</t>
  </si>
  <si>
    <t>Traffic Management</t>
  </si>
  <si>
    <t>Type</t>
  </si>
  <si>
    <t>EXC BY CUSTOMER</t>
  </si>
  <si>
    <t>LOOKUP</t>
  </si>
  <si>
    <t>Ground</t>
  </si>
  <si>
    <t>Code</t>
  </si>
  <si>
    <t>Excavation</t>
  </si>
  <si>
    <t>Backfill</t>
  </si>
  <si>
    <t>Days Required</t>
  </si>
  <si>
    <t>277 App Fee + 303 Design Checking Fee Fee + 217 Call Off + 42 Self lay legal agreement fee</t>
  </si>
  <si>
    <t>277 App Fee + 303 Design Checking Fee + 217 Call Off + 42 Self lay legal agreement fee</t>
  </si>
  <si>
    <t>277 App Fee + 242 Design Checking Fee + 217 Call Off + 42 Self lay legal agreement fee</t>
  </si>
  <si>
    <t>277 App Fee + 181 Design Checking Fee + 217 Call Off + 42 Self lay legal agreement fee</t>
  </si>
  <si>
    <t>Water Fitting*</t>
  </si>
  <si>
    <t>Shower</t>
  </si>
  <si>
    <t>Bidet</t>
  </si>
  <si>
    <t>Loading Units</t>
  </si>
  <si>
    <t>I have read and understood.</t>
  </si>
  <si>
    <t>Fire Consultation Fee (Including VAT at 20%)</t>
  </si>
  <si>
    <t xml:space="preserve">Please be aware that this is an estimate and does not constitute a formal quote. In order to receive a formal quote, you will need to submit an application. </t>
  </si>
  <si>
    <t xml:space="preserve">Please enter details for items required on a daily basis in the table to the left.
If you require an estimate for any of the items listed in the table to the right, please update the volume with the amount required. 
Please be aware that this is an estimate and does not constitute a formal quote. In order to receive a formal quote, you will need to submit an application. </t>
  </si>
  <si>
    <t>Annual Contestability Summary</t>
  </si>
  <si>
    <t>Design &amp; Construction Specifications</t>
  </si>
  <si>
    <t>Environmental Incentives &amp; Credits</t>
  </si>
  <si>
    <t>You can find our Design &amp; Construction Specifications here.</t>
  </si>
  <si>
    <t xml:space="preserve">You can find more information on infrastructure charges and environmental incentives here. </t>
  </si>
  <si>
    <r>
      <rPr>
        <b/>
        <sz val="11"/>
        <color theme="1"/>
        <rFont val="Poppins"/>
      </rPr>
      <t>Guidance Notes</t>
    </r>
    <r>
      <rPr>
        <sz val="9"/>
        <color theme="1"/>
        <rFont val="Poppins"/>
      </rPr>
      <t xml:space="preserve">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</si>
  <si>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Service connections for individual properties will always require a meter.
Large diameter service connections for blocks of flats will not require a meter if the flats are to be metered individually.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</si>
  <si>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Manifolds can be installed on 63-90mm connections only.
These costs include installation of external stop tap, manifold chamber and meters.
For manifolds used internally in blocks of flats, please instead complete the information on the Meters For Flats tab and add the appropriate number of housing units.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</si>
  <si>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Please enter any details for the service connection to the block of flats on the On-site Single Services tab. 
Each internal meter will require a housing unit - you can add the housing units and the meters on this tab. 
There is a £50 collection fee for each instance when you collect meters or housing units from us. 
There is a £336 delivery fee for each instance when we deliver meters or housing units to you.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</si>
  <si>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*"Fitting" includes any plumbing, outlet, dedicated space or other provision for that fitting.
**"Bath" includes a whirlpool bath or a jacuzzi.
***"Household Appliance" means an appliance (including a dishwasher, washing machine and waste disposal unit) in a house. 
****"Communal or Commercial Appliance" means an appliance (including a dishwasher, a washing machine and a waste disposal unit) elsewhere than ina a house (including in communal facilities).
</t>
    </r>
  </si>
  <si>
    <t>Useful Links</t>
  </si>
  <si>
    <t>How to use the calculator</t>
  </si>
  <si>
    <t>New Connections Charging Arrangements</t>
  </si>
  <si>
    <t>Calculate your own cost estimate</t>
  </si>
  <si>
    <t>I have not read and understood.</t>
  </si>
  <si>
    <r>
      <t xml:space="preserve">
This calculator has been designed to generate an estimate for work you require based on our 2023/2024 charges.
The charges in this calculator are fixed until 31st March 2024, when our annual charges will be updated. New charges will be published on our website.
</t>
    </r>
    <r>
      <rPr>
        <b/>
        <sz val="10"/>
        <color rgb="FFFF0000"/>
        <rFont val="Poppins"/>
      </rPr>
      <t xml:space="preserve">The cost estimate you can calculate is for </t>
    </r>
    <r>
      <rPr>
        <b/>
        <u/>
        <sz val="10"/>
        <color rgb="FFFF0000"/>
        <rFont val="Poppins"/>
      </rPr>
      <t>information purposes only</t>
    </r>
    <r>
      <rPr>
        <b/>
        <sz val="10"/>
        <color rgb="FFFF0000"/>
        <rFont val="Poppins"/>
      </rPr>
      <t xml:space="preserve">, and does not constitute a formal quote, or an offer capable of acceptance. </t>
    </r>
    <r>
      <rPr>
        <sz val="10"/>
        <rFont val="Poppins"/>
      </rPr>
      <t xml:space="preserve">
Please be aware that this calculator does not include VAT for construction work. Some of our services incur VAT while others are outside the scope of VAT. The rates at which VAT is applied depend on the service provided and the type of property concerned. These rates are subject to changes in VAT legislation and rates of VAT.
Please be aware that this calculator does not include an uplift for out of hours work. We charge an ‘out of hours’ working percentage increase (33.7%) for the increased labour costs incurred from working outside of normal working hours.
Please be aware that this calculator does not include the cost of traffic management or council fees. For jobs where we need to dig in the road, your formal quote will include the cost of any council fees (including permit fees, road closure fees and pay and display parking bay suspension fees) we need to pay for permission to carry out the roadworks. These fees are set by each local council, not Yorkshire Water. Please visit your local council’s website for more details on specific permit fees.
This calculator does not include the cost of any pre-existing mains or services that may require disconnecting or diverting. If there are any, this will be identified and included when we create your formal quote. 
If your project is complex or challenging, it may not be possible to quote you a fixed charge, and we may need to quote a bespoke charge instead. We would only charge a bespoke cost for special circumstances where we don’t have a published fixed charge in place. For more information on our charges for easements, feasibility studies and trial holes, please see pages 47-48 of our New Connections Charging Arrangements.</t>
    </r>
  </si>
  <si>
    <t>Please confirm that you have read and understood the above by selecting the acceptance statement below.</t>
  </si>
  <si>
    <r>
      <t xml:space="preserve">This calculator will give you an estimate for the work based on our 2023/2024 charges. These charges are fixed until 31st March 2024. To get a formal quote, you will need to make a full application. 
</t>
    </r>
    <r>
      <rPr>
        <b/>
        <sz val="9"/>
        <color theme="1"/>
        <rFont val="Poppins"/>
      </rPr>
      <t xml:space="preserve">Before using the calculator, please refer to the statements on the "Terms Of Use" tab, and use the drop down box to confirm that you have read and understood them. </t>
    </r>
    <r>
      <rPr>
        <sz val="9"/>
        <color theme="1"/>
        <rFont val="Poppins"/>
      </rPr>
      <t>You can then enter the details of the work you require Yorkshire Water to carry out on the appropriate tabs:
1. Application Fees
2. Branch Connections
3. Main Laying
4. Chlorinations For Self Laid Mains
5. Additional Phases (Piece Throughs)
6. On-site Service Connections
7. On-site Manifolds
8. Meters For Self Lay
9. Meters For Flats 
10. Network Assembly
11. Infrastructure Charges (Household Properties)
12. Infrastructure Charges (Non Household Properties)
Each tab will detail the cost of the work input, and the total cost will be displayed on the “Your Estimate” tab.
For more information on contestability, please see our Annual Contestability Summary on our website.
For more information on our design and construction specifications, please see our Design &amp; Construction Specification on our website.
For more information about our charges, please see our New Connection Charging Arrangements on our website. 
You can access these in the links below.</t>
    </r>
  </si>
  <si>
    <t>Your cost estimate</t>
  </si>
  <si>
    <t>Is an SLP laying mains on your scheme?</t>
  </si>
  <si>
    <t>Who is designing the scheme?</t>
  </si>
  <si>
    <t>How many properties?</t>
  </si>
  <si>
    <t>Self-Lay Legal Agreement Fee (Including VAT at 20%)</t>
  </si>
  <si>
    <t>Who is excavating?</t>
  </si>
  <si>
    <t>Road type</t>
  </si>
  <si>
    <t>Main diameter</t>
  </si>
  <si>
    <t>Barrier pipe?</t>
  </si>
  <si>
    <t>Barrier pipe</t>
  </si>
  <si>
    <r>
      <rPr>
        <b/>
        <sz val="11"/>
        <color theme="1"/>
        <rFont val="Poppins"/>
      </rPr>
      <t>Guidance Notes</t>
    </r>
    <r>
      <rPr>
        <sz val="9"/>
        <color theme="1"/>
        <rFont val="Poppins"/>
      </rPr>
      <t xml:space="preserve">
The cost of the first 2 metres of mains will be included in the cost of the branch connection. The cost of one valve and one washout is also included with each branch connection.
Please only enter the additional metres, above the first two, in the metres column on the Mains Laying tab.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</si>
  <si>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The cost of the first 2 metres of mains will be included in the cost of the branch connection. 
Please only enter the additional metres, above the first two, in the metres column on this tab. 
For example, if you are calculating the budget for one branch connection with 50 metres of main laying, you would only need to enter 48 metres on this tab.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</si>
  <si>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Please be aware that we only offer a chlorination for self-laid mains where the SLP does not have the relevant accreditation to chlorinate the mains themselves.
Please be aware that this is an estimate and does not constitute a formal quote. In order to receive a formal quote, you will need to submit an application. </t>
    </r>
  </si>
  <si>
    <r>
      <rPr>
        <b/>
        <sz val="11"/>
        <color theme="1"/>
        <rFont val="Poppins"/>
      </rPr>
      <t>Guidance Notes</t>
    </r>
    <r>
      <rPr>
        <sz val="9"/>
        <color theme="1"/>
        <rFont val="Poppins"/>
      </rPr>
      <t xml:space="preserve">
The upfront cost comprises the application and design fees (or design checking fees) that are paid in advance in order for us to generate a formal quote for your works.
Any applicable fire consultation fees or self-lay legal agreement fees will be added to your quote. There is also a charge of £217+VAT for each-call off required on your scheme.
If you decide you do not want to proceed with your application after making it, the amount of the upfront fees that are refundable will depend on the amount of work we have carried out. 
We do not currently accept SLP designs for requisition schemes. 
For more details on our fees and charges, please see our New Connections Charging Arrangements using the link below.</t>
    </r>
  </si>
  <si>
    <t>Pipe diameter</t>
  </si>
  <si>
    <t>Number of connections</t>
  </si>
  <si>
    <t>Manifold type</t>
  </si>
  <si>
    <t>Number of manifolds</t>
  </si>
  <si>
    <t>Number of units</t>
  </si>
  <si>
    <t>Number of fittings</t>
  </si>
  <si>
    <r>
      <rPr>
        <b/>
        <sz val="11"/>
        <color theme="1"/>
        <rFont val="Poppins"/>
      </rPr>
      <t>Guidance Notes</t>
    </r>
    <r>
      <rPr>
        <sz val="9"/>
        <color theme="1"/>
        <rFont val="Poppins"/>
      </rPr>
      <t xml:space="preserve">
The cost of one valve and one washout is included with each branch connection. 
For more information, please refer to our Design &amp; Construction Specifications.
Please be aware that this is an estimate and does not constitute a formal quote. In order to receive a formal quote, you will need to submit an application. </t>
    </r>
  </si>
  <si>
    <t>Number of plots</t>
  </si>
  <si>
    <t>Applicable for clean infrastructure charges?</t>
  </si>
  <si>
    <t>Applicable for foul infrastructure charges?</t>
  </si>
  <si>
    <t>Applicable for surface water infrastructure charges?</t>
  </si>
  <si>
    <t>Number of loading units</t>
  </si>
  <si>
    <t>WC flushing cistern</t>
  </si>
  <si>
    <t>Wash basin in a house</t>
  </si>
  <si>
    <t>Wash basin elsewhere</t>
  </si>
  <si>
    <t>Bath** (nominal tap size 20mm)</t>
  </si>
  <si>
    <t>Bath** (Nominal tap size larger than 20mm)</t>
  </si>
  <si>
    <t>Sink (nominal tap size: 15mm)</t>
  </si>
  <si>
    <t>Sink (nominal tap size: larger than 15mm)</t>
  </si>
  <si>
    <t>Spray tap</t>
  </si>
  <si>
    <t>Household appliance*** (minimum of 6 loading units per house)</t>
  </si>
  <si>
    <t>Communal or commercial appliance****</t>
  </si>
  <si>
    <t>Any other water fitting or outlet*****</t>
  </si>
  <si>
    <r>
      <rPr>
        <b/>
        <sz val="11"/>
        <color theme="1"/>
        <rFont val="Poppins"/>
      </rPr>
      <t xml:space="preserve">Guidance Notes
</t>
    </r>
    <r>
      <rPr>
        <b/>
        <sz val="8"/>
        <color theme="1"/>
        <rFont val="Poppins"/>
      </rPr>
      <t xml:space="preserve">
</t>
    </r>
    <r>
      <rPr>
        <sz val="8"/>
        <color theme="1"/>
        <rFont val="Poppins"/>
      </rPr>
      <t xml:space="preserve">For concentric/screw-in meters, please select the Manifold Meter option.
Please be aware of the following costs involved in purchasing meters from Yorkshire Water:
There is a £50 charge payable for each bulk meter request form you send us to purchase meters.
There is a £50 charge payable for each submission of meter details you return to us following installation. This covers the cost of processing and reporting the meter details to Water UK.
There is a £50 collection fee for each instance when you collect meters from us. 
There is a £336 delivery fee for each instance when we deliver meters to you. 
Please be aware that this is an estimate and does not constitute a formal quote. In order to receive a formal quote, you will need to submit an application. </t>
    </r>
  </si>
  <si>
    <t>Upfront Cost 
(Including VAT at 20%)</t>
  </si>
  <si>
    <r>
      <rPr>
        <b/>
        <sz val="11"/>
        <color theme="1"/>
        <rFont val="Poppins"/>
      </rPr>
      <t xml:space="preserve">Guidance Notes
</t>
    </r>
    <r>
      <rPr>
        <sz val="9"/>
        <color theme="1"/>
        <rFont val="Poppins"/>
      </rPr>
      <t xml:space="preserve">This tab should only be used to calculate infrastructure charges for household properties. For non-household properties, please use tab 12.
Our infrastructure charges are set at the following rates until 31st March 2024:
Water: £96 per household property.
Foul water: £60 per household property.
Surface water: £150 per household property.
You may be eligible for a 20% discount on your clean and foul water infrastructure charges if your property is expected to use 110 litres of water per person per day or less. Surface water infrastructure charges are applicable when your property discharges surface water to the public sewer network.
Please be aware that this is an estimate and does not constitute a formal quote. In order to receive a formal quote, you will need to submit an application. </t>
    </r>
  </si>
  <si>
    <t>Litres per person per day</t>
  </si>
  <si>
    <r>
      <rPr>
        <b/>
        <sz val="11"/>
        <color theme="1"/>
        <rFont val="Poppins"/>
      </rPr>
      <t>Guidance Notes</t>
    </r>
    <r>
      <rPr>
        <sz val="9"/>
        <color theme="1"/>
        <rFont val="Poppins"/>
      </rPr>
      <t xml:space="preserve">
This tab should only be used to calculate infrastructure charges for non-household properties. For household properties, please use tab 11.
Water and foul water infrastructure charges for non-household properties are calculated using a formula that puts the expected water usage of the property in ratio to a typical household property. This is based on the number of loading units in the property.
For more information on how to calculate loading units, please refer to the Loading Units tab.
You may be eligible for a 20% discount on your clean and foul water infrastructure charges if your property is expected to use 110 litres of water per person per day or less. Surface water infrastructure charges are applicable when your property discharges surface water to the public sewer network.
Please be aware that this is an estimate and does not constitute a formal quote. In order to receive a formal quote, you will need to submit an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</si>
</sst>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1"/>
      <color theme="1"/>
      <name val="Poppins"/>
    </font>
    <font>
      <sz val="16"/>
      <color theme="1"/>
      <name val="Poppins"/>
    </font>
    <font>
      <sz val="8"/>
      <color theme="1"/>
      <name val="Poppins"/>
    </font>
    <font>
      <sz val="14"/>
      <color theme="1"/>
      <name val="Poppins"/>
    </font>
    <font>
      <b/>
      <sz val="11"/>
      <color theme="0"/>
      <name val="Poppins"/>
    </font>
    <font>
      <sz val="9"/>
      <color theme="1"/>
      <name val="Poppins"/>
    </font>
    <font>
      <sz val="10"/>
      <name val="Poppins"/>
    </font>
    <font>
      <b/>
      <sz val="12"/>
      <color theme="1"/>
      <name val="Poppins"/>
    </font>
    <font>
      <u/>
      <sz val="11"/>
      <color theme="10"/>
      <name val="Calibri"/>
      <family val="2"/>
      <scheme val="minor"/>
    </font>
    <font>
      <b/>
      <u/>
      <sz val="14"/>
      <color theme="10"/>
      <name val="Poppins"/>
    </font>
    <font>
      <b/>
      <sz val="11"/>
      <color theme="1"/>
      <name val="Poppins"/>
    </font>
    <font>
      <sz val="11"/>
      <color theme="0"/>
      <name val="Poppins"/>
    </font>
    <font>
      <b/>
      <u/>
      <sz val="11"/>
      <color theme="10"/>
      <name val="Poppins"/>
    </font>
    <font>
      <b/>
      <sz val="24"/>
      <color theme="0"/>
      <name val="Poppins"/>
    </font>
    <font>
      <b/>
      <sz val="20"/>
      <color theme="1"/>
      <name val="Poppins"/>
    </font>
    <font>
      <b/>
      <u/>
      <sz val="18"/>
      <color theme="4"/>
      <name val="Poppins"/>
    </font>
    <font>
      <b/>
      <sz val="14"/>
      <color rgb="FFFF0000"/>
      <name val="Poppins"/>
    </font>
    <font>
      <b/>
      <sz val="10"/>
      <color rgb="FFFF0000"/>
      <name val="Poppins"/>
    </font>
    <font>
      <b/>
      <u/>
      <sz val="10"/>
      <color rgb="FFFF0000"/>
      <name val="Poppins"/>
    </font>
    <font>
      <b/>
      <sz val="9"/>
      <color theme="1"/>
      <name val="Poppins"/>
    </font>
    <font>
      <b/>
      <sz val="12"/>
      <name val="Poppins"/>
    </font>
    <font>
      <b/>
      <sz val="12"/>
      <color rgb="FFFF0000"/>
      <name val="Poppins"/>
    </font>
    <font>
      <b/>
      <sz val="8"/>
      <color theme="1"/>
      <name val="Poppins"/>
    </font>
    <font>
      <b/>
      <sz val="16"/>
      <color theme="1"/>
      <name val="Poppins"/>
    </font>
  </fonts>
  <fills count="13">
    <fill>
      <patternFill patternType="none"/>
    </fill>
    <fill>
      <patternFill patternType="gray125"/>
    </fill>
    <fill>
      <patternFill patternType="solid">
        <fgColor theme="5" tint="0.79998168889431442"/>
        <bgColor indexed="64"/>
      </patternFill>
    </fill>
    <fill>
      <patternFill patternType="solid">
        <fgColor theme="3"/>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
      <patternFill patternType="solid">
        <fgColor theme="8"/>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ck">
        <color theme="4"/>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
      <left/>
      <right/>
      <top style="thick">
        <color theme="4"/>
      </top>
      <bottom/>
      <diagonal/>
    </border>
    <border>
      <left style="thick">
        <color theme="4"/>
      </left>
      <right/>
      <top style="thick">
        <color theme="4"/>
      </top>
      <bottom/>
      <diagonal/>
    </border>
    <border>
      <left style="thick">
        <color theme="4"/>
      </left>
      <right/>
      <top/>
      <bottom/>
      <diagonal/>
    </border>
    <border>
      <left/>
      <right style="thick">
        <color theme="4"/>
      </right>
      <top style="thick">
        <color theme="4"/>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style="thick">
        <color theme="4"/>
      </top>
      <bottom style="thick">
        <color theme="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2">
    <xf numFmtId="0" fontId="0" fillId="0" borderId="0"/>
    <xf numFmtId="0" fontId="9" fillId="0" borderId="0" applyNumberFormat="0" applyFill="0" applyBorder="0" applyAlignment="0" applyProtection="0"/>
  </cellStyleXfs>
  <cellXfs count="203">
    <xf numFmtId="0" fontId="0" fillId="0" borderId="0" xfId="0"/>
    <xf numFmtId="0" fontId="1" fillId="2" borderId="1" xfId="0" applyFont="1" applyFill="1" applyBorder="1"/>
    <xf numFmtId="0" fontId="1" fillId="3" borderId="0" xfId="0" applyFont="1" applyFill="1"/>
    <xf numFmtId="0" fontId="1" fillId="2" borderId="1" xfId="0" applyFont="1" applyFill="1" applyBorder="1" applyProtection="1">
      <protection locked="0"/>
    </xf>
    <xf numFmtId="0" fontId="1" fillId="4" borderId="0" xfId="0" applyFont="1" applyFill="1"/>
    <xf numFmtId="0" fontId="1" fillId="4" borderId="0" xfId="0" applyFont="1" applyFill="1" applyAlignment="1">
      <alignment wrapText="1"/>
    </xf>
    <xf numFmtId="0" fontId="1" fillId="4" borderId="0" xfId="0" applyFont="1" applyFill="1" applyAlignment="1"/>
    <xf numFmtId="0" fontId="4" fillId="4" borderId="0" xfId="0" applyFont="1" applyFill="1" applyAlignment="1">
      <alignment wrapText="1"/>
    </xf>
    <xf numFmtId="0" fontId="0" fillId="0" borderId="0" xfId="0" applyAlignment="1"/>
    <xf numFmtId="164" fontId="0" fillId="0" borderId="0" xfId="0" applyNumberFormat="1"/>
    <xf numFmtId="0" fontId="0" fillId="6" borderId="0" xfId="0" applyFill="1"/>
    <xf numFmtId="0" fontId="1" fillId="6" borderId="0" xfId="0" applyFont="1" applyFill="1" applyAlignment="1"/>
    <xf numFmtId="164" fontId="1" fillId="6" borderId="0" xfId="0" applyNumberFormat="1" applyFont="1" applyFill="1" applyAlignment="1"/>
    <xf numFmtId="0" fontId="1" fillId="6" borderId="0" xfId="0" applyFont="1" applyFill="1"/>
    <xf numFmtId="0" fontId="1" fillId="6" borderId="1" xfId="0" applyFont="1" applyFill="1" applyBorder="1"/>
    <xf numFmtId="0" fontId="1" fillId="6" borderId="1" xfId="0" applyFont="1" applyFill="1" applyBorder="1" applyAlignment="1">
      <alignment vertical="center" wrapText="1"/>
    </xf>
    <xf numFmtId="0" fontId="1" fillId="6" borderId="0" xfId="0" applyFont="1" applyFill="1" applyAlignment="1">
      <alignment vertical="center" wrapText="1"/>
    </xf>
    <xf numFmtId="0" fontId="1" fillId="6" borderId="0" xfId="0" applyFont="1" applyFill="1" applyAlignment="1">
      <alignment horizontal="center" vertical="center" wrapText="1"/>
    </xf>
    <xf numFmtId="0" fontId="11" fillId="7" borderId="1" xfId="0" applyFont="1" applyFill="1" applyBorder="1" applyAlignment="1">
      <alignment horizontal="center" vertical="center" wrapText="1"/>
    </xf>
    <xf numFmtId="0" fontId="11" fillId="7" borderId="0" xfId="0" applyFont="1" applyFill="1" applyAlignment="1">
      <alignment horizontal="center" vertical="center" wrapText="1"/>
    </xf>
    <xf numFmtId="0" fontId="12" fillId="8" borderId="1" xfId="0" applyFont="1" applyFill="1" applyBorder="1" applyAlignment="1">
      <alignment vertical="center" wrapText="1"/>
    </xf>
    <xf numFmtId="0" fontId="1" fillId="6" borderId="0" xfId="0" applyFont="1" applyFill="1" applyAlignment="1">
      <alignment horizontal="center"/>
    </xf>
    <xf numFmtId="0" fontId="11" fillId="6" borderId="0" xfId="0" applyFont="1" applyFill="1" applyAlignment="1">
      <alignment horizontal="right" indent="1"/>
    </xf>
    <xf numFmtId="164" fontId="1" fillId="6" borderId="0" xfId="0" applyNumberFormat="1" applyFont="1" applyFill="1"/>
    <xf numFmtId="0" fontId="1" fillId="6" borderId="0" xfId="0" applyFont="1" applyFill="1" applyAlignment="1">
      <alignment horizontal="right" indent="1"/>
    </xf>
    <xf numFmtId="0" fontId="4" fillId="6" borderId="0" xfId="0" applyFont="1" applyFill="1" applyAlignment="1">
      <alignment wrapText="1"/>
    </xf>
    <xf numFmtId="0" fontId="12" fillId="8" borderId="1" xfId="0" applyFont="1" applyFill="1" applyBorder="1" applyAlignment="1">
      <alignment vertical="center"/>
    </xf>
    <xf numFmtId="0" fontId="11" fillId="7" borderId="1" xfId="0" applyFont="1" applyFill="1" applyBorder="1" applyAlignment="1">
      <alignment horizontal="center" vertical="center"/>
    </xf>
    <xf numFmtId="0" fontId="1" fillId="6" borderId="1" xfId="0" applyFont="1" applyFill="1" applyBorder="1" applyAlignment="1" applyProtection="1">
      <alignment vertical="center"/>
      <protection locked="0"/>
    </xf>
    <xf numFmtId="0" fontId="1" fillId="6" borderId="1" xfId="0" applyFont="1" applyFill="1" applyBorder="1" applyAlignment="1">
      <alignment vertical="center"/>
    </xf>
    <xf numFmtId="0" fontId="1" fillId="6" borderId="0" xfId="0" applyFont="1" applyFill="1" applyBorder="1"/>
    <xf numFmtId="164" fontId="1" fillId="6" borderId="0" xfId="0" applyNumberFormat="1" applyFont="1" applyFill="1" applyBorder="1"/>
    <xf numFmtId="0" fontId="11" fillId="6" borderId="0" xfId="0" applyFont="1" applyFill="1" applyBorder="1" applyAlignment="1">
      <alignment horizontal="right" indent="1"/>
    </xf>
    <xf numFmtId="164" fontId="1"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0" fontId="12" fillId="8" borderId="1" xfId="0" applyFont="1" applyFill="1" applyBorder="1" applyAlignment="1">
      <alignment horizontal="left" vertical="center"/>
    </xf>
    <xf numFmtId="0" fontId="1" fillId="6" borderId="1" xfId="0" applyFont="1" applyFill="1" applyBorder="1" applyAlignment="1" applyProtection="1">
      <alignment horizontal="left" vertical="center"/>
      <protection locked="0"/>
    </xf>
    <xf numFmtId="164" fontId="11" fillId="2" borderId="1" xfId="0" applyNumberFormat="1" applyFont="1" applyFill="1" applyBorder="1" applyAlignment="1">
      <alignment horizontal="center" vertical="center"/>
    </xf>
    <xf numFmtId="0" fontId="1" fillId="6" borderId="0" xfId="0" applyFont="1" applyFill="1" applyAlignment="1">
      <alignment vertical="center"/>
    </xf>
    <xf numFmtId="0" fontId="11" fillId="6" borderId="0" xfId="0" applyFont="1" applyFill="1" applyAlignment="1">
      <alignment horizontal="right" vertical="center" indent="1"/>
    </xf>
    <xf numFmtId="164" fontId="1" fillId="6" borderId="0" xfId="0" applyNumberFormat="1" applyFont="1" applyFill="1" applyAlignment="1">
      <alignment vertical="center"/>
    </xf>
    <xf numFmtId="0" fontId="4" fillId="6" borderId="0" xfId="0" applyFont="1" applyFill="1" applyAlignment="1">
      <alignment vertical="center" wrapText="1"/>
    </xf>
    <xf numFmtId="0" fontId="0" fillId="6" borderId="0" xfId="0" applyFill="1" applyAlignment="1">
      <alignment vertical="center"/>
    </xf>
    <xf numFmtId="164" fontId="1" fillId="6" borderId="0" xfId="0" applyNumberFormat="1" applyFont="1" applyFill="1" applyAlignment="1">
      <alignment vertical="center" wrapText="1"/>
    </xf>
    <xf numFmtId="0" fontId="11" fillId="6" borderId="0" xfId="0" applyFont="1" applyFill="1" applyAlignment="1">
      <alignment horizontal="right" vertical="center" wrapText="1" indent="1"/>
    </xf>
    <xf numFmtId="164" fontId="11" fillId="2" borderId="1" xfId="0" applyNumberFormat="1" applyFont="1" applyFill="1" applyBorder="1" applyAlignment="1">
      <alignment horizontal="center" vertical="center" wrapText="1"/>
    </xf>
    <xf numFmtId="0" fontId="12" fillId="8" borderId="1" xfId="0" applyFont="1" applyFill="1" applyBorder="1" applyAlignment="1">
      <alignment horizontal="left" vertical="center" wrapText="1"/>
    </xf>
    <xf numFmtId="0" fontId="1" fillId="6" borderId="1" xfId="0" applyFont="1" applyFill="1" applyBorder="1" applyAlignment="1" applyProtection="1">
      <alignment horizontal="left" vertical="center" wrapText="1"/>
      <protection locked="0"/>
    </xf>
    <xf numFmtId="0" fontId="0" fillId="0" borderId="0" xfId="0" applyFill="1" applyAlignment="1"/>
    <xf numFmtId="2" fontId="1" fillId="6" borderId="0" xfId="0" applyNumberFormat="1" applyFont="1" applyFill="1" applyAlignment="1">
      <alignment vertical="center" wrapText="1"/>
    </xf>
    <xf numFmtId="0" fontId="5" fillId="8" borderId="1"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11" borderId="1" xfId="0" applyFont="1" applyFill="1" applyBorder="1" applyAlignment="1">
      <alignment vertical="center"/>
    </xf>
    <xf numFmtId="0" fontId="1" fillId="11" borderId="1" xfId="0" applyFont="1" applyFill="1" applyBorder="1" applyAlignment="1">
      <alignment horizontal="center" vertical="center"/>
    </xf>
    <xf numFmtId="0" fontId="2" fillId="6" borderId="0" xfId="0" applyFont="1" applyFill="1" applyAlignment="1">
      <alignment wrapText="1"/>
    </xf>
    <xf numFmtId="0" fontId="0" fillId="6" borderId="0" xfId="0" applyFill="1" applyAlignment="1">
      <alignment horizontal="left" indent="1"/>
    </xf>
    <xf numFmtId="0" fontId="14" fillId="6" borderId="0" xfId="0" applyFont="1" applyFill="1" applyBorder="1" applyAlignment="1">
      <alignment wrapText="1"/>
    </xf>
    <xf numFmtId="0" fontId="1" fillId="6" borderId="0" xfId="0" applyFont="1" applyFill="1" applyBorder="1" applyAlignment="1">
      <alignment vertical="center" wrapText="1"/>
    </xf>
    <xf numFmtId="0" fontId="0" fillId="6" borderId="0" xfId="0" applyFill="1" applyBorder="1"/>
    <xf numFmtId="0" fontId="1" fillId="6" borderId="23" xfId="0" applyFont="1" applyFill="1" applyBorder="1" applyAlignment="1">
      <alignment vertical="center" wrapText="1"/>
    </xf>
    <xf numFmtId="0" fontId="0" fillId="6" borderId="23" xfId="0" applyFill="1" applyBorder="1"/>
    <xf numFmtId="0" fontId="1" fillId="6" borderId="21" xfId="0" applyFont="1" applyFill="1" applyBorder="1" applyAlignment="1">
      <alignment vertical="center" wrapText="1"/>
    </xf>
    <xf numFmtId="0" fontId="0" fillId="6" borderId="21" xfId="0" applyFill="1" applyBorder="1"/>
    <xf numFmtId="0" fontId="0" fillId="6" borderId="24" xfId="0" applyFill="1" applyBorder="1"/>
    <xf numFmtId="0" fontId="0" fillId="6" borderId="10" xfId="0" applyFill="1" applyBorder="1"/>
    <xf numFmtId="0" fontId="0" fillId="6" borderId="25" xfId="0" applyFill="1" applyBorder="1"/>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3" fillId="2" borderId="8"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left" wrapText="1" indent="1"/>
    </xf>
    <xf numFmtId="0" fontId="0" fillId="2" borderId="0" xfId="0" applyFill="1" applyBorder="1"/>
    <xf numFmtId="0" fontId="0" fillId="2" borderId="9" xfId="0" applyFill="1" applyBorder="1"/>
    <xf numFmtId="0" fontId="0" fillId="2" borderId="8" xfId="0" applyFill="1" applyBorder="1"/>
    <xf numFmtId="0" fontId="0" fillId="2" borderId="0" xfId="0" applyFill="1" applyBorder="1" applyAlignment="1">
      <alignment horizontal="left" indent="1"/>
    </xf>
    <xf numFmtId="0" fontId="0" fillId="2" borderId="5" xfId="0" applyFill="1" applyBorder="1"/>
    <xf numFmtId="0" fontId="0" fillId="2" borderId="6" xfId="0" applyFill="1" applyBorder="1"/>
    <xf numFmtId="0" fontId="0" fillId="2" borderId="6" xfId="0" applyFill="1" applyBorder="1" applyAlignment="1">
      <alignment horizontal="left" indent="1"/>
    </xf>
    <xf numFmtId="0" fontId="0" fillId="2" borderId="7" xfId="0" applyFill="1" applyBorder="1"/>
    <xf numFmtId="0" fontId="17" fillId="6" borderId="10" xfId="0" applyFont="1" applyFill="1" applyBorder="1" applyAlignment="1">
      <alignment vertical="top" wrapText="1"/>
    </xf>
    <xf numFmtId="0" fontId="1" fillId="6" borderId="0" xfId="0" applyFont="1" applyFill="1" applyBorder="1" applyAlignment="1">
      <alignment horizontal="center" vertical="center" wrapText="1"/>
    </xf>
    <xf numFmtId="0" fontId="2" fillId="8" borderId="20" xfId="0" applyFont="1" applyFill="1" applyBorder="1" applyAlignment="1">
      <alignment horizontal="center" wrapText="1"/>
    </xf>
    <xf numFmtId="0" fontId="2" fillId="8" borderId="19" xfId="0" applyFont="1" applyFill="1" applyBorder="1" applyAlignment="1">
      <alignment horizontal="center" wrapText="1"/>
    </xf>
    <xf numFmtId="0" fontId="2" fillId="8" borderId="21" xfId="0" applyFont="1" applyFill="1" applyBorder="1" applyAlignment="1">
      <alignment horizontal="center" wrapText="1"/>
    </xf>
    <xf numFmtId="0" fontId="2" fillId="8" borderId="0" xfId="0" applyFont="1" applyFill="1" applyBorder="1" applyAlignment="1">
      <alignment horizontal="center" wrapText="1"/>
    </xf>
    <xf numFmtId="0" fontId="14" fillId="8" borderId="19" xfId="0" applyFont="1" applyFill="1" applyBorder="1" applyAlignment="1">
      <alignment horizontal="left" wrapText="1"/>
    </xf>
    <xf numFmtId="0" fontId="14" fillId="8" borderId="22" xfId="0" applyFont="1" applyFill="1" applyBorder="1" applyAlignment="1">
      <alignment horizontal="left" wrapText="1"/>
    </xf>
    <xf numFmtId="0" fontId="14" fillId="8" borderId="0" xfId="0" applyFont="1" applyFill="1" applyBorder="1" applyAlignment="1">
      <alignment horizontal="left" wrapText="1"/>
    </xf>
    <xf numFmtId="0" fontId="14" fillId="8" borderId="23" xfId="0" applyFont="1" applyFill="1" applyBorder="1" applyAlignment="1">
      <alignment horizontal="left" wrapText="1"/>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21" fillId="2" borderId="0" xfId="0" applyFont="1" applyFill="1" applyBorder="1" applyAlignment="1">
      <alignment horizontal="center" vertical="top" wrapText="1"/>
    </xf>
    <xf numFmtId="0" fontId="16" fillId="12" borderId="26" xfId="1" applyFont="1" applyFill="1" applyBorder="1" applyAlignment="1">
      <alignment horizontal="center" vertical="center"/>
    </xf>
    <xf numFmtId="0" fontId="15" fillId="6" borderId="0" xfId="0" applyFont="1" applyFill="1" applyBorder="1" applyAlignment="1">
      <alignment horizontal="left"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14" fillId="8" borderId="20" xfId="0" applyFont="1" applyFill="1" applyBorder="1" applyAlignment="1">
      <alignment horizontal="center" wrapText="1"/>
    </xf>
    <xf numFmtId="0" fontId="14" fillId="8" borderId="19" xfId="0" applyFont="1" applyFill="1" applyBorder="1" applyAlignment="1">
      <alignment horizontal="center" wrapText="1"/>
    </xf>
    <xf numFmtId="0" fontId="14" fillId="8" borderId="22" xfId="0" applyFont="1" applyFill="1" applyBorder="1" applyAlignment="1">
      <alignment horizontal="center" wrapText="1"/>
    </xf>
    <xf numFmtId="0" fontId="14" fillId="8" borderId="21" xfId="0" applyFont="1" applyFill="1" applyBorder="1" applyAlignment="1">
      <alignment horizontal="center" wrapText="1"/>
    </xf>
    <xf numFmtId="0" fontId="14" fillId="8" borderId="0" xfId="0" applyFont="1" applyFill="1" applyBorder="1" applyAlignment="1">
      <alignment horizontal="center" wrapText="1"/>
    </xf>
    <xf numFmtId="0" fontId="14" fillId="8" borderId="23" xfId="0" applyFont="1" applyFill="1" applyBorder="1" applyAlignment="1">
      <alignment horizontal="center" wrapText="1"/>
    </xf>
    <xf numFmtId="164" fontId="8" fillId="6" borderId="0" xfId="0" applyNumberFormat="1"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23" xfId="0" applyFont="1" applyFill="1" applyBorder="1" applyAlignment="1">
      <alignment horizontal="center" vertical="center" wrapText="1"/>
    </xf>
    <xf numFmtId="164" fontId="24" fillId="6" borderId="0" xfId="0" applyNumberFormat="1" applyFont="1" applyFill="1" applyBorder="1" applyAlignment="1">
      <alignment horizontal="center" vertical="center" wrapText="1"/>
    </xf>
    <xf numFmtId="0" fontId="22" fillId="6" borderId="0" xfId="0" applyFont="1" applyFill="1" applyBorder="1" applyAlignment="1">
      <alignment horizontal="center" vertical="top" wrapText="1"/>
    </xf>
    <xf numFmtId="164" fontId="1" fillId="10" borderId="0" xfId="0" applyNumberFormat="1" applyFont="1" applyFill="1" applyAlignment="1">
      <alignment horizontal="left" indent="1"/>
    </xf>
    <xf numFmtId="0" fontId="6" fillId="6" borderId="0" xfId="0" applyFont="1" applyFill="1" applyAlignment="1">
      <alignment horizontal="center" vertical="center" wrapText="1"/>
    </xf>
    <xf numFmtId="0" fontId="6" fillId="9" borderId="27" xfId="0" applyFont="1" applyFill="1" applyBorder="1" applyAlignment="1">
      <alignment horizontal="left" vertical="top" wrapText="1"/>
    </xf>
    <xf numFmtId="0" fontId="6" fillId="9" borderId="28" xfId="0" applyFont="1" applyFill="1" applyBorder="1" applyAlignment="1">
      <alignment horizontal="left" vertical="top" wrapText="1"/>
    </xf>
    <xf numFmtId="0" fontId="6" fillId="9" borderId="29" xfId="0" applyFont="1" applyFill="1" applyBorder="1" applyAlignment="1">
      <alignment horizontal="left" vertical="top" wrapText="1"/>
    </xf>
    <xf numFmtId="0" fontId="6" fillId="9" borderId="30"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31" xfId="0" applyFont="1" applyFill="1" applyBorder="1" applyAlignment="1">
      <alignment horizontal="left" vertical="top" wrapText="1"/>
    </xf>
    <xf numFmtId="0" fontId="6" fillId="9" borderId="32" xfId="0" applyFont="1" applyFill="1" applyBorder="1" applyAlignment="1">
      <alignment horizontal="left" vertical="top" wrapText="1"/>
    </xf>
    <xf numFmtId="0" fontId="6" fillId="9" borderId="33" xfId="0" applyFont="1" applyFill="1" applyBorder="1" applyAlignment="1">
      <alignment horizontal="left" vertical="top" wrapText="1"/>
    </xf>
    <xf numFmtId="0" fontId="6" fillId="9" borderId="34" xfId="0" applyFont="1" applyFill="1" applyBorder="1" applyAlignment="1">
      <alignment horizontal="left" vertical="top" wrapText="1"/>
    </xf>
    <xf numFmtId="0" fontId="10" fillId="6" borderId="14" xfId="1" applyFont="1" applyFill="1" applyBorder="1" applyAlignment="1">
      <alignment horizontal="center" vertical="center" wrapText="1"/>
    </xf>
    <xf numFmtId="0" fontId="10" fillId="6" borderId="0"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10" fillId="6" borderId="17" xfId="1" applyFont="1" applyFill="1" applyBorder="1" applyAlignment="1">
      <alignment horizontal="center" vertical="center" wrapText="1"/>
    </xf>
    <xf numFmtId="0" fontId="10" fillId="6" borderId="18" xfId="1" applyFont="1" applyFill="1" applyBorder="1" applyAlignment="1">
      <alignment horizontal="center" vertical="center" wrapText="1"/>
    </xf>
    <xf numFmtId="164" fontId="1" fillId="10" borderId="0" xfId="0" applyNumberFormat="1" applyFont="1" applyFill="1" applyAlignment="1">
      <alignment horizontal="left" indent="2"/>
    </xf>
    <xf numFmtId="0" fontId="6"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4"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5" xfId="0"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164" fontId="1" fillId="10" borderId="0" xfId="0" applyNumberFormat="1" applyFont="1" applyFill="1" applyBorder="1" applyAlignment="1">
      <alignment horizontal="left" indent="2"/>
    </xf>
    <xf numFmtId="0" fontId="6" fillId="9" borderId="12" xfId="0" applyFont="1" applyFill="1" applyBorder="1" applyAlignment="1">
      <alignment horizontal="left" vertical="top"/>
    </xf>
    <xf numFmtId="0" fontId="6" fillId="9" borderId="13" xfId="0" applyFont="1" applyFill="1" applyBorder="1" applyAlignment="1">
      <alignment horizontal="left" vertical="top"/>
    </xf>
    <xf numFmtId="0" fontId="6" fillId="9" borderId="14" xfId="0" applyFont="1" applyFill="1" applyBorder="1" applyAlignment="1">
      <alignment horizontal="left" vertical="top"/>
    </xf>
    <xf numFmtId="0" fontId="6" fillId="9" borderId="0" xfId="0" applyFont="1" applyFill="1" applyBorder="1" applyAlignment="1">
      <alignment horizontal="left" vertical="top"/>
    </xf>
    <xf numFmtId="0" fontId="6" fillId="9" borderId="15" xfId="0" applyFont="1" applyFill="1" applyBorder="1" applyAlignment="1">
      <alignment horizontal="left" vertical="top"/>
    </xf>
    <xf numFmtId="0" fontId="6" fillId="9" borderId="16" xfId="0" applyFont="1" applyFill="1" applyBorder="1" applyAlignment="1">
      <alignment horizontal="left" vertical="top"/>
    </xf>
    <xf numFmtId="0" fontId="6" fillId="9" borderId="17" xfId="0" applyFont="1" applyFill="1" applyBorder="1" applyAlignment="1">
      <alignment horizontal="left" vertical="top"/>
    </xf>
    <xf numFmtId="0" fontId="6" fillId="9" borderId="18" xfId="0" applyFont="1" applyFill="1" applyBorder="1" applyAlignment="1">
      <alignment horizontal="left" vertical="top"/>
    </xf>
    <xf numFmtId="164" fontId="1" fillId="10" borderId="0" xfId="0" applyNumberFormat="1" applyFont="1" applyFill="1" applyAlignment="1">
      <alignment horizontal="left" vertical="center" indent="2"/>
    </xf>
    <xf numFmtId="0" fontId="4" fillId="5" borderId="0" xfId="0" applyFont="1" applyFill="1" applyAlignment="1">
      <alignment horizont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0" fillId="6" borderId="8" xfId="1" applyFont="1" applyFill="1" applyBorder="1" applyAlignment="1">
      <alignment horizontal="center" vertical="center" wrapText="1"/>
    </xf>
    <xf numFmtId="0" fontId="10" fillId="6" borderId="9"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27" xfId="1" applyFont="1" applyFill="1" applyBorder="1" applyAlignment="1">
      <alignment horizontal="center" vertical="center" wrapText="1"/>
    </xf>
    <xf numFmtId="0" fontId="10" fillId="6" borderId="28" xfId="1" applyFont="1" applyFill="1" applyBorder="1" applyAlignment="1">
      <alignment horizontal="center" vertical="center" wrapText="1"/>
    </xf>
    <xf numFmtId="0" fontId="10" fillId="6" borderId="29" xfId="1" applyFont="1" applyFill="1" applyBorder="1" applyAlignment="1">
      <alignment horizontal="center" vertical="center" wrapText="1"/>
    </xf>
    <xf numFmtId="0" fontId="10" fillId="6" borderId="30" xfId="1" applyFont="1" applyFill="1" applyBorder="1" applyAlignment="1">
      <alignment horizontal="center" vertical="center" wrapText="1"/>
    </xf>
    <xf numFmtId="0" fontId="10" fillId="6" borderId="31" xfId="1" applyFont="1" applyFill="1" applyBorder="1" applyAlignment="1">
      <alignment horizontal="center" vertical="center" wrapText="1"/>
    </xf>
    <xf numFmtId="0" fontId="10" fillId="6" borderId="32" xfId="1" applyFont="1" applyFill="1" applyBorder="1" applyAlignment="1">
      <alignment horizontal="center" vertical="center" wrapText="1"/>
    </xf>
    <xf numFmtId="0" fontId="10" fillId="6" borderId="33" xfId="1" applyFont="1" applyFill="1" applyBorder="1" applyAlignment="1">
      <alignment horizontal="center" vertical="center" wrapText="1"/>
    </xf>
    <xf numFmtId="0" fontId="10" fillId="6" borderId="34" xfId="1" applyFont="1" applyFill="1" applyBorder="1" applyAlignment="1">
      <alignment horizontal="center" vertical="center" wrapText="1"/>
    </xf>
    <xf numFmtId="0" fontId="1" fillId="2" borderId="1" xfId="0" applyFont="1" applyFill="1" applyBorder="1" applyAlignment="1">
      <alignment horizontal="center"/>
    </xf>
    <xf numFmtId="164" fontId="1" fillId="10" borderId="0" xfId="0" applyNumberFormat="1" applyFont="1" applyFill="1" applyAlignment="1">
      <alignment horizontal="left" vertical="center" wrapText="1" indent="2"/>
    </xf>
    <xf numFmtId="0" fontId="6" fillId="9" borderId="12" xfId="0" applyFont="1" applyFill="1" applyBorder="1" applyAlignment="1">
      <alignment horizontal="left" vertical="top" wrapText="1"/>
    </xf>
    <xf numFmtId="0" fontId="6" fillId="9" borderId="13" xfId="0" applyFont="1" applyFill="1" applyBorder="1" applyAlignment="1">
      <alignment horizontal="left" vertical="top" wrapText="1"/>
    </xf>
    <xf numFmtId="0" fontId="6" fillId="9" borderId="14" xfId="0" applyFont="1" applyFill="1" applyBorder="1" applyAlignment="1">
      <alignment horizontal="left" vertical="top" wrapText="1"/>
    </xf>
    <xf numFmtId="0" fontId="6" fillId="9" borderId="15" xfId="0" applyFont="1" applyFill="1" applyBorder="1" applyAlignment="1">
      <alignment horizontal="left" vertical="top" wrapText="1"/>
    </xf>
    <xf numFmtId="0" fontId="13" fillId="6" borderId="14" xfId="1" applyFont="1" applyFill="1" applyBorder="1" applyAlignment="1">
      <alignment horizontal="center" vertical="center" wrapText="1"/>
    </xf>
    <xf numFmtId="0" fontId="13" fillId="6" borderId="0" xfId="1" applyFont="1" applyFill="1" applyBorder="1" applyAlignment="1">
      <alignment horizontal="center" vertical="center" wrapText="1"/>
    </xf>
    <xf numFmtId="0" fontId="13" fillId="6" borderId="15" xfId="1" applyFont="1" applyFill="1" applyBorder="1" applyAlignment="1">
      <alignment horizontal="center" vertical="center" wrapText="1"/>
    </xf>
    <xf numFmtId="0" fontId="13" fillId="6" borderId="16" xfId="1" applyFont="1" applyFill="1" applyBorder="1" applyAlignment="1">
      <alignment horizontal="center" vertical="center" wrapText="1"/>
    </xf>
    <xf numFmtId="0" fontId="13" fillId="6" borderId="17" xfId="1" applyFont="1" applyFill="1" applyBorder="1" applyAlignment="1">
      <alignment horizontal="center" vertical="center" wrapText="1"/>
    </xf>
    <xf numFmtId="0" fontId="13" fillId="6" borderId="18" xfId="1" applyFont="1" applyFill="1" applyBorder="1" applyAlignment="1">
      <alignment horizontal="center" vertical="center" wrapText="1"/>
    </xf>
    <xf numFmtId="0" fontId="13" fillId="6" borderId="30" xfId="1" applyFont="1" applyFill="1" applyBorder="1" applyAlignment="1">
      <alignment horizontal="center" vertical="center" wrapText="1"/>
    </xf>
    <xf numFmtId="0" fontId="13" fillId="6" borderId="31" xfId="1" applyFont="1" applyFill="1" applyBorder="1" applyAlignment="1">
      <alignment horizontal="center" vertical="center" wrapText="1"/>
    </xf>
    <xf numFmtId="0" fontId="13" fillId="6" borderId="32" xfId="1" applyFont="1" applyFill="1" applyBorder="1" applyAlignment="1">
      <alignment horizontal="center" vertical="center" wrapText="1"/>
    </xf>
    <xf numFmtId="0" fontId="13" fillId="6" borderId="33" xfId="1" applyFont="1" applyFill="1" applyBorder="1" applyAlignment="1">
      <alignment horizontal="center" vertical="center" wrapText="1"/>
    </xf>
    <xf numFmtId="0" fontId="13" fillId="6" borderId="34" xfId="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28">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ill>
        <patternFill>
          <bgColor theme="1"/>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1"/>
        </patternFill>
      </fill>
    </dxf>
    <dxf>
      <fill>
        <patternFill>
          <bgColor theme="1"/>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
      <fill>
        <patternFill>
          <bgColor theme="1"/>
        </patternFill>
      </fill>
    </dxf>
    <dxf>
      <font>
        <color theme="5" tint="0.7999816888943144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88900</xdr:colOff>
      <xdr:row>1</xdr:row>
      <xdr:rowOff>69850</xdr:rowOff>
    </xdr:from>
    <xdr:to>
      <xdr:col>5</xdr:col>
      <xdr:colOff>34412</xdr:colOff>
      <xdr:row>2</xdr:row>
      <xdr:rowOff>342900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254000"/>
          <a:ext cx="1139312" cy="654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1</xdr:row>
      <xdr:rowOff>69850</xdr:rowOff>
    </xdr:from>
    <xdr:to>
      <xdr:col>5</xdr:col>
      <xdr:colOff>72512</xdr:colOff>
      <xdr:row>2</xdr:row>
      <xdr:rowOff>342900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00" y="254000"/>
          <a:ext cx="1139312" cy="654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107950</xdr:colOff>
      <xdr:row>1</xdr:row>
      <xdr:rowOff>76200</xdr:rowOff>
    </xdr:from>
    <xdr:to>
      <xdr:col>2</xdr:col>
      <xdr:colOff>605912</xdr:colOff>
      <xdr:row>2</xdr:row>
      <xdr:rowOff>349250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250" y="266700"/>
          <a:ext cx="1139312" cy="654050"/>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D3ECFA"/>
      </a:dk2>
      <a:lt2>
        <a:srgbClr val="3357F0"/>
      </a:lt2>
      <a:accent1>
        <a:srgbClr val="131D3F"/>
      </a:accent1>
      <a:accent2>
        <a:srgbClr val="6FB3CF"/>
      </a:accent2>
      <a:accent3>
        <a:srgbClr val="1F348C"/>
      </a:accent3>
      <a:accent4>
        <a:srgbClr val="EE6563"/>
      </a:accent4>
      <a:accent5>
        <a:srgbClr val="F0B444"/>
      </a:accent5>
      <a:accent6>
        <a:srgbClr val="69AA99"/>
      </a:accent6>
      <a:hlink>
        <a:srgbClr val="0563C1"/>
      </a:hlink>
      <a:folHlink>
        <a:srgbClr val="EE656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yorkshirewater.com/developers/water/self-lay/" TargetMode="External"/><Relationship Id="rId1" Type="http://schemas.openxmlformats.org/officeDocument/2006/relationships/hyperlink" Target="https://www.yorkshirewater.com/developer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yorkshirewater.com/developers/environmental-incentives-and-credit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yorkshirewater.com/developers/environmental-incentives-and-credit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yorkshirewater.com/developers/water/self-lay/" TargetMode="External"/><Relationship Id="rId2" Type="http://schemas.openxmlformats.org/officeDocument/2006/relationships/hyperlink" Target="https://www.yorkshirewater.com/developers/water/self-lay/" TargetMode="External"/><Relationship Id="rId1" Type="http://schemas.openxmlformats.org/officeDocument/2006/relationships/hyperlink" Target="https://www.yorkshirewater.com/developers/developer-services-charg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yorkshirewater.com/developers/environmental-incentives-and-credit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rkshirewater.com/developers/developer-services-charg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EB86-7861-493A-BABF-07697F4B79AD}">
  <sheetPr codeName="Sheet1">
    <tabColor theme="6"/>
  </sheetPr>
  <dimension ref="A1:AC44"/>
  <sheetViews>
    <sheetView showGridLines="0" showRowColHeaders="0" tabSelected="1" zoomScaleNormal="100" workbookViewId="0">
      <selection activeCell="F35" sqref="F35:X39"/>
    </sheetView>
  </sheetViews>
  <sheetFormatPr defaultColWidth="0" defaultRowHeight="14.5" zeroHeight="1" x14ac:dyDescent="0.35"/>
  <cols>
    <col min="1" max="1" width="3.453125" style="10" customWidth="1"/>
    <col min="2" max="19" width="4.26953125" style="10" customWidth="1"/>
    <col min="20" max="20" width="4.26953125" style="56" customWidth="1"/>
    <col min="21" max="28" width="4.26953125" style="10" customWidth="1"/>
    <col min="29" max="29" width="8.7265625" style="10" customWidth="1"/>
    <col min="30" max="16384" width="8.7265625" style="10" hidden="1"/>
  </cols>
  <sheetData>
    <row r="1" spans="1:28" ht="14.5" customHeight="1" thickBot="1" x14ac:dyDescent="1.3">
      <c r="A1" s="55"/>
      <c r="B1" s="55"/>
      <c r="C1" s="55"/>
      <c r="D1" s="55"/>
      <c r="E1" s="55"/>
    </row>
    <row r="2" spans="1:28" ht="30" customHeight="1" thickTop="1" x14ac:dyDescent="1.25">
      <c r="A2" s="55"/>
      <c r="B2" s="83"/>
      <c r="C2" s="84"/>
      <c r="D2" s="84"/>
      <c r="E2" s="84"/>
      <c r="F2" s="84"/>
      <c r="G2" s="87" t="s">
        <v>200</v>
      </c>
      <c r="H2" s="87"/>
      <c r="I2" s="87"/>
      <c r="J2" s="87"/>
      <c r="K2" s="87"/>
      <c r="L2" s="87"/>
      <c r="M2" s="87"/>
      <c r="N2" s="87"/>
      <c r="O2" s="87"/>
      <c r="P2" s="87"/>
      <c r="Q2" s="87"/>
      <c r="R2" s="87"/>
      <c r="S2" s="87"/>
      <c r="T2" s="87"/>
      <c r="U2" s="87"/>
      <c r="V2" s="87"/>
      <c r="W2" s="87"/>
      <c r="X2" s="87"/>
      <c r="Y2" s="87"/>
      <c r="Z2" s="87"/>
      <c r="AA2" s="87"/>
      <c r="AB2" s="88"/>
    </row>
    <row r="3" spans="1:28" ht="30" customHeight="1" thickBot="1" x14ac:dyDescent="1.3">
      <c r="A3" s="55"/>
      <c r="B3" s="85"/>
      <c r="C3" s="86"/>
      <c r="D3" s="86"/>
      <c r="E3" s="86"/>
      <c r="F3" s="86"/>
      <c r="G3" s="89"/>
      <c r="H3" s="89"/>
      <c r="I3" s="89"/>
      <c r="J3" s="89"/>
      <c r="K3" s="89"/>
      <c r="L3" s="89"/>
      <c r="M3" s="89"/>
      <c r="N3" s="89"/>
      <c r="O3" s="89"/>
      <c r="P3" s="89"/>
      <c r="Q3" s="89"/>
      <c r="R3" s="89"/>
      <c r="S3" s="89"/>
      <c r="T3" s="89"/>
      <c r="U3" s="89"/>
      <c r="V3" s="89"/>
      <c r="W3" s="89"/>
      <c r="X3" s="89"/>
      <c r="Y3" s="89"/>
      <c r="Z3" s="89"/>
      <c r="AA3" s="89"/>
      <c r="AB3" s="90"/>
    </row>
    <row r="4" spans="1:28" ht="20.149999999999999" customHeight="1" x14ac:dyDescent="1.25">
      <c r="A4" s="55"/>
      <c r="B4" s="100" t="s">
        <v>202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2"/>
    </row>
    <row r="5" spans="1:28" ht="20.149999999999999" customHeight="1" x14ac:dyDescent="1.25">
      <c r="A5" s="55"/>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5"/>
    </row>
    <row r="6" spans="1:28" ht="20.149999999999999" customHeight="1" x14ac:dyDescent="1.25">
      <c r="A6" s="55"/>
      <c r="B6" s="103"/>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5"/>
    </row>
    <row r="7" spans="1:28" ht="20.149999999999999" customHeight="1" x14ac:dyDescent="1.25">
      <c r="A7" s="55"/>
      <c r="B7" s="103"/>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5"/>
    </row>
    <row r="8" spans="1:28" ht="20.149999999999999" customHeight="1" x14ac:dyDescent="1.25">
      <c r="A8" s="55"/>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5"/>
    </row>
    <row r="9" spans="1:28" ht="20.149999999999999" customHeight="1" x14ac:dyDescent="1.25">
      <c r="A9" s="55"/>
      <c r="B9" s="10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5"/>
    </row>
    <row r="10" spans="1:28" ht="20.149999999999999" customHeight="1" x14ac:dyDescent="1.25">
      <c r="A10" s="5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5"/>
    </row>
    <row r="11" spans="1:28" ht="20.149999999999999" customHeight="1" x14ac:dyDescent="1.25">
      <c r="A11" s="55"/>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5"/>
    </row>
    <row r="12" spans="1:28" ht="20.149999999999999" customHeight="1" x14ac:dyDescent="1.25">
      <c r="A12" s="55"/>
      <c r="B12" s="10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5"/>
    </row>
    <row r="13" spans="1:28" ht="20.149999999999999" customHeight="1" x14ac:dyDescent="1.25">
      <c r="A13" s="55"/>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5"/>
    </row>
    <row r="14" spans="1:28" ht="20.149999999999999" customHeight="1" x14ac:dyDescent="1.25">
      <c r="A14" s="55"/>
      <c r="B14" s="10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5"/>
    </row>
    <row r="15" spans="1:28" ht="20.149999999999999" customHeight="1" x14ac:dyDescent="1.25">
      <c r="A15" s="55"/>
      <c r="B15" s="10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5"/>
    </row>
    <row r="16" spans="1:28" ht="20.149999999999999" customHeight="1" x14ac:dyDescent="1.25">
      <c r="A16" s="55"/>
      <c r="B16" s="10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5"/>
    </row>
    <row r="17" spans="1:28" ht="20.149999999999999" customHeight="1" x14ac:dyDescent="1.25">
      <c r="A17" s="55"/>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5"/>
    </row>
    <row r="18" spans="1:28" ht="20.149999999999999" customHeight="1" x14ac:dyDescent="1.25">
      <c r="A18" s="55"/>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5"/>
    </row>
    <row r="19" spans="1:28" ht="20.149999999999999" customHeight="1" x14ac:dyDescent="1.25">
      <c r="A19" s="55"/>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5"/>
    </row>
    <row r="20" spans="1:28" ht="20.149999999999999" customHeight="1" x14ac:dyDescent="1.25">
      <c r="A20" s="55"/>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5"/>
    </row>
    <row r="21" spans="1:28" ht="20.149999999999999" customHeight="1" x14ac:dyDescent="1.25">
      <c r="A21" s="55"/>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5"/>
    </row>
    <row r="22" spans="1:28" ht="20.149999999999999" customHeight="1" x14ac:dyDescent="1.25">
      <c r="A22" s="55"/>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5"/>
    </row>
    <row r="23" spans="1:28" ht="20.149999999999999" customHeight="1" x14ac:dyDescent="0.35">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5"/>
    </row>
    <row r="24" spans="1:28" ht="20.149999999999999" customHeight="1" x14ac:dyDescent="0.35">
      <c r="B24" s="10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5"/>
    </row>
    <row r="25" spans="1:28" ht="20.149999999999999" customHeight="1" x14ac:dyDescent="0.35">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5"/>
    </row>
    <row r="26" spans="1:28" ht="20.149999999999999" customHeight="1" x14ac:dyDescent="0.35">
      <c r="B26" s="10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5"/>
    </row>
    <row r="27" spans="1:28" ht="20.149999999999999" customHeight="1" x14ac:dyDescent="0.35">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5"/>
    </row>
    <row r="28" spans="1:28" ht="20.149999999999999" customHeight="1" x14ac:dyDescent="0.35">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5"/>
    </row>
    <row r="29" spans="1:28" ht="20.149999999999999" customHeight="1" x14ac:dyDescent="0.35">
      <c r="B29" s="10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5"/>
    </row>
    <row r="30" spans="1:28" ht="20.149999999999999" customHeight="1" x14ac:dyDescent="0.3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5"/>
    </row>
    <row r="31" spans="1:28" ht="20.149999999999999" customHeight="1" x14ac:dyDescent="0.35">
      <c r="B31" s="103"/>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5"/>
    </row>
    <row r="32" spans="1:28" ht="20.149999999999999" customHeight="1" x14ac:dyDescent="0.35">
      <c r="B32" s="68"/>
      <c r="C32" s="67"/>
      <c r="D32" s="67"/>
      <c r="E32" s="67"/>
      <c r="F32" s="106" t="s">
        <v>203</v>
      </c>
      <c r="G32" s="106"/>
      <c r="H32" s="106"/>
      <c r="I32" s="106"/>
      <c r="J32" s="106"/>
      <c r="K32" s="106"/>
      <c r="L32" s="106"/>
      <c r="M32" s="106"/>
      <c r="N32" s="106"/>
      <c r="O32" s="106"/>
      <c r="P32" s="106"/>
      <c r="Q32" s="106"/>
      <c r="R32" s="106"/>
      <c r="S32" s="106"/>
      <c r="T32" s="106"/>
      <c r="U32" s="106"/>
      <c r="V32" s="106"/>
      <c r="W32" s="106"/>
      <c r="X32" s="106"/>
      <c r="Y32" s="67"/>
      <c r="Z32" s="67"/>
      <c r="AA32" s="67"/>
      <c r="AB32" s="69"/>
    </row>
    <row r="33" spans="2:28" ht="20.149999999999999" customHeight="1" x14ac:dyDescent="0.35">
      <c r="B33" s="68"/>
      <c r="C33" s="67"/>
      <c r="D33" s="67"/>
      <c r="E33" s="67"/>
      <c r="F33" s="106"/>
      <c r="G33" s="106"/>
      <c r="H33" s="106"/>
      <c r="I33" s="106"/>
      <c r="J33" s="106"/>
      <c r="K33" s="106"/>
      <c r="L33" s="106"/>
      <c r="M33" s="106"/>
      <c r="N33" s="106"/>
      <c r="O33" s="106"/>
      <c r="P33" s="106"/>
      <c r="Q33" s="106"/>
      <c r="R33" s="106"/>
      <c r="S33" s="106"/>
      <c r="T33" s="106"/>
      <c r="U33" s="106"/>
      <c r="V33" s="106"/>
      <c r="W33" s="106"/>
      <c r="X33" s="106"/>
      <c r="Y33" s="67"/>
      <c r="Z33" s="67"/>
      <c r="AA33" s="67"/>
      <c r="AB33" s="69"/>
    </row>
    <row r="34" spans="2:28" ht="14.5" customHeight="1" thickBot="1" x14ac:dyDescent="0.7">
      <c r="B34" s="70"/>
      <c r="C34" s="71"/>
      <c r="D34" s="71"/>
      <c r="E34" s="71"/>
      <c r="F34" s="71"/>
      <c r="G34" s="71"/>
      <c r="H34" s="71"/>
      <c r="I34" s="71"/>
      <c r="J34" s="71"/>
      <c r="K34" s="71"/>
      <c r="L34" s="71"/>
      <c r="M34" s="71"/>
      <c r="N34" s="71"/>
      <c r="O34" s="71"/>
      <c r="P34" s="71"/>
      <c r="Q34" s="71"/>
      <c r="R34" s="71"/>
      <c r="S34" s="71"/>
      <c r="T34" s="72"/>
      <c r="U34" s="71"/>
      <c r="V34" s="71"/>
      <c r="W34" s="71"/>
      <c r="X34" s="71"/>
      <c r="Y34" s="73"/>
      <c r="Z34" s="73"/>
      <c r="AA34" s="73"/>
      <c r="AB34" s="74"/>
    </row>
    <row r="35" spans="2:28" ht="14.5" customHeight="1" x14ac:dyDescent="0.65">
      <c r="B35" s="70"/>
      <c r="C35" s="71"/>
      <c r="D35" s="71"/>
      <c r="E35" s="71"/>
      <c r="F35" s="91" t="s">
        <v>201</v>
      </c>
      <c r="G35" s="92"/>
      <c r="H35" s="92"/>
      <c r="I35" s="92"/>
      <c r="J35" s="92"/>
      <c r="K35" s="92"/>
      <c r="L35" s="92"/>
      <c r="M35" s="92"/>
      <c r="N35" s="92"/>
      <c r="O35" s="92"/>
      <c r="P35" s="92"/>
      <c r="Q35" s="92"/>
      <c r="R35" s="92"/>
      <c r="S35" s="92"/>
      <c r="T35" s="92"/>
      <c r="U35" s="92"/>
      <c r="V35" s="92"/>
      <c r="W35" s="92"/>
      <c r="X35" s="93"/>
      <c r="Y35" s="73"/>
      <c r="Z35" s="73"/>
      <c r="AA35" s="73"/>
      <c r="AB35" s="74"/>
    </row>
    <row r="36" spans="2:28" ht="14.5" customHeight="1" x14ac:dyDescent="0.65">
      <c r="B36" s="70"/>
      <c r="C36" s="71"/>
      <c r="D36" s="71"/>
      <c r="E36" s="71"/>
      <c r="F36" s="94"/>
      <c r="G36" s="95"/>
      <c r="H36" s="95"/>
      <c r="I36" s="95"/>
      <c r="J36" s="95"/>
      <c r="K36" s="95"/>
      <c r="L36" s="95"/>
      <c r="M36" s="95"/>
      <c r="N36" s="95"/>
      <c r="O36" s="95"/>
      <c r="P36" s="95"/>
      <c r="Q36" s="95"/>
      <c r="R36" s="95"/>
      <c r="S36" s="95"/>
      <c r="T36" s="95"/>
      <c r="U36" s="95"/>
      <c r="V36" s="95"/>
      <c r="W36" s="95"/>
      <c r="X36" s="96"/>
      <c r="Y36" s="73"/>
      <c r="Z36" s="73"/>
      <c r="AA36" s="73"/>
      <c r="AB36" s="74"/>
    </row>
    <row r="37" spans="2:28" ht="14.5" customHeight="1" x14ac:dyDescent="0.65">
      <c r="B37" s="70"/>
      <c r="C37" s="71"/>
      <c r="D37" s="71"/>
      <c r="E37" s="71"/>
      <c r="F37" s="94"/>
      <c r="G37" s="95"/>
      <c r="H37" s="95"/>
      <c r="I37" s="95"/>
      <c r="J37" s="95"/>
      <c r="K37" s="95"/>
      <c r="L37" s="95"/>
      <c r="M37" s="95"/>
      <c r="N37" s="95"/>
      <c r="O37" s="95"/>
      <c r="P37" s="95"/>
      <c r="Q37" s="95"/>
      <c r="R37" s="95"/>
      <c r="S37" s="95"/>
      <c r="T37" s="95"/>
      <c r="U37" s="95"/>
      <c r="V37" s="95"/>
      <c r="W37" s="95"/>
      <c r="X37" s="96"/>
      <c r="Y37" s="73"/>
      <c r="Z37" s="73"/>
      <c r="AA37" s="73"/>
      <c r="AB37" s="74"/>
    </row>
    <row r="38" spans="2:28" ht="14.5" customHeight="1" x14ac:dyDescent="0.65">
      <c r="B38" s="70"/>
      <c r="C38" s="71"/>
      <c r="D38" s="71"/>
      <c r="E38" s="71"/>
      <c r="F38" s="94"/>
      <c r="G38" s="95"/>
      <c r="H38" s="95"/>
      <c r="I38" s="95"/>
      <c r="J38" s="95"/>
      <c r="K38" s="95"/>
      <c r="L38" s="95"/>
      <c r="M38" s="95"/>
      <c r="N38" s="95"/>
      <c r="O38" s="95"/>
      <c r="P38" s="95"/>
      <c r="Q38" s="95"/>
      <c r="R38" s="95"/>
      <c r="S38" s="95"/>
      <c r="T38" s="95"/>
      <c r="U38" s="95"/>
      <c r="V38" s="95"/>
      <c r="W38" s="95"/>
      <c r="X38" s="96"/>
      <c r="Y38" s="73"/>
      <c r="Z38" s="73"/>
      <c r="AA38" s="73"/>
      <c r="AB38" s="74"/>
    </row>
    <row r="39" spans="2:28" ht="14.5" customHeight="1" thickBot="1" x14ac:dyDescent="0.7">
      <c r="B39" s="70"/>
      <c r="C39" s="71"/>
      <c r="D39" s="71"/>
      <c r="E39" s="71"/>
      <c r="F39" s="97"/>
      <c r="G39" s="98"/>
      <c r="H39" s="98"/>
      <c r="I39" s="98"/>
      <c r="J39" s="98"/>
      <c r="K39" s="98"/>
      <c r="L39" s="98"/>
      <c r="M39" s="98"/>
      <c r="N39" s="98"/>
      <c r="O39" s="98"/>
      <c r="P39" s="98"/>
      <c r="Q39" s="98"/>
      <c r="R39" s="98"/>
      <c r="S39" s="98"/>
      <c r="T39" s="98"/>
      <c r="U39" s="98"/>
      <c r="V39" s="98"/>
      <c r="W39" s="98"/>
      <c r="X39" s="99"/>
      <c r="Y39" s="73"/>
      <c r="Z39" s="73"/>
      <c r="AA39" s="73"/>
      <c r="AB39" s="74"/>
    </row>
    <row r="40" spans="2:28" x14ac:dyDescent="0.35">
      <c r="B40" s="75"/>
      <c r="C40" s="73"/>
      <c r="D40" s="73"/>
      <c r="E40" s="73"/>
      <c r="F40" s="73"/>
      <c r="G40" s="73"/>
      <c r="H40" s="73"/>
      <c r="I40" s="73"/>
      <c r="J40" s="73"/>
      <c r="K40" s="73"/>
      <c r="L40" s="73"/>
      <c r="M40" s="73"/>
      <c r="N40" s="73"/>
      <c r="O40" s="73"/>
      <c r="P40" s="73"/>
      <c r="Q40" s="73"/>
      <c r="R40" s="73"/>
      <c r="S40" s="73"/>
      <c r="T40" s="76"/>
      <c r="U40" s="73"/>
      <c r="V40" s="73"/>
      <c r="W40" s="73"/>
      <c r="X40" s="73"/>
      <c r="Y40" s="73"/>
      <c r="Z40" s="73"/>
      <c r="AA40" s="73"/>
      <c r="AB40" s="74"/>
    </row>
    <row r="41" spans="2:28" x14ac:dyDescent="0.35">
      <c r="B41" s="75"/>
      <c r="C41" s="73"/>
      <c r="D41" s="73"/>
      <c r="E41" s="73"/>
      <c r="F41" s="73"/>
      <c r="G41" s="73"/>
      <c r="H41" s="73"/>
      <c r="I41" s="73"/>
      <c r="J41" s="73"/>
      <c r="K41" s="73"/>
      <c r="L41" s="73"/>
      <c r="M41" s="73"/>
      <c r="N41" s="73"/>
      <c r="O41" s="73"/>
      <c r="P41" s="73"/>
      <c r="Q41" s="73"/>
      <c r="R41" s="73"/>
      <c r="S41" s="73"/>
      <c r="T41" s="76"/>
      <c r="U41" s="73"/>
      <c r="V41" s="73"/>
      <c r="W41" s="73"/>
      <c r="X41" s="73"/>
      <c r="Y41" s="73"/>
      <c r="Z41" s="73"/>
      <c r="AA41" s="73"/>
      <c r="AB41" s="74"/>
    </row>
    <row r="42" spans="2:28" x14ac:dyDescent="0.35">
      <c r="B42" s="75"/>
      <c r="C42" s="73"/>
      <c r="D42" s="73"/>
      <c r="E42" s="73"/>
      <c r="F42" s="73"/>
      <c r="G42" s="73"/>
      <c r="H42" s="73"/>
      <c r="I42" s="73"/>
      <c r="J42" s="73"/>
      <c r="K42" s="73"/>
      <c r="L42" s="73"/>
      <c r="M42" s="73"/>
      <c r="N42" s="73"/>
      <c r="O42" s="73"/>
      <c r="P42" s="73"/>
      <c r="Q42" s="73"/>
      <c r="R42" s="73"/>
      <c r="S42" s="73"/>
      <c r="T42" s="76"/>
      <c r="U42" s="73"/>
      <c r="V42" s="73"/>
      <c r="W42" s="73"/>
      <c r="X42" s="73"/>
      <c r="Y42" s="73"/>
      <c r="Z42" s="73"/>
      <c r="AA42" s="73"/>
      <c r="AB42" s="74"/>
    </row>
    <row r="43" spans="2:28" ht="15" thickBot="1" x14ac:dyDescent="0.4">
      <c r="B43" s="77"/>
      <c r="C43" s="78"/>
      <c r="D43" s="78"/>
      <c r="E43" s="78"/>
      <c r="F43" s="78"/>
      <c r="G43" s="78"/>
      <c r="H43" s="78"/>
      <c r="I43" s="78"/>
      <c r="J43" s="78"/>
      <c r="K43" s="78"/>
      <c r="L43" s="78"/>
      <c r="M43" s="78"/>
      <c r="N43" s="78"/>
      <c r="O43" s="78"/>
      <c r="P43" s="78"/>
      <c r="Q43" s="78"/>
      <c r="R43" s="78"/>
      <c r="S43" s="78"/>
      <c r="T43" s="79"/>
      <c r="U43" s="78"/>
      <c r="V43" s="78"/>
      <c r="W43" s="78"/>
      <c r="X43" s="78"/>
      <c r="Y43" s="78"/>
      <c r="Z43" s="78"/>
      <c r="AA43" s="78"/>
      <c r="AB43" s="80"/>
    </row>
    <row r="44" spans="2:28" x14ac:dyDescent="0.35"/>
  </sheetData>
  <sheetProtection algorithmName="SHA-512" hashValue="B6gdyHzufelOkGMb8bzdTc1WmjE4P81T/gwH8epUoB3f6THKE58lSfu4qxyCJDI7hFzsTSI1UccwUMOQcRu8Eg==" saltValue="KxIqVulTpiQL96dIFDlCdg==" spinCount="100000" sheet="1" objects="1" scenarios="1"/>
  <mergeCells count="5">
    <mergeCell ref="B2:F3"/>
    <mergeCell ref="G2:AB3"/>
    <mergeCell ref="F35:X39"/>
    <mergeCell ref="B4:AB31"/>
    <mergeCell ref="F32:X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34ECD608-1C5B-4544-B773-6F471C6B6F69}">
          <x14:formula1>
            <xm:f>Lists!$S$1:$S$2</xm:f>
          </x14:formula1>
          <xm:sqref>F35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6C6C-1EF8-4149-BAA3-45F83C2305F0}">
  <sheetPr codeName="Sheet10">
    <tabColor theme="9" tint="0.39997558519241921"/>
  </sheetPr>
  <dimension ref="A1:T23"/>
  <sheetViews>
    <sheetView showGridLines="0" showRowColHeaders="0" workbookViewId="0">
      <selection activeCell="L20" sqref="L20"/>
    </sheetView>
  </sheetViews>
  <sheetFormatPr defaultColWidth="0" defaultRowHeight="21.5" zeroHeight="1" x14ac:dyDescent="0.35"/>
  <cols>
    <col min="1" max="1" width="3.453125" style="38" customWidth="1"/>
    <col min="2" max="2" width="20" style="38" customWidth="1"/>
    <col min="3" max="3" width="21.7265625" style="38" customWidth="1"/>
    <col min="4" max="4" width="36.54296875" style="38" customWidth="1"/>
    <col min="5" max="5" width="12.81640625" style="38" hidden="1" customWidth="1"/>
    <col min="6" max="6" width="34.81640625" style="38" customWidth="1"/>
    <col min="7" max="7" width="3.453125" style="38" customWidth="1"/>
    <col min="8" max="12" width="8.7265625" style="38" customWidth="1"/>
    <col min="13" max="20" width="0" style="38" hidden="1" customWidth="1"/>
    <col min="21" max="16384" width="8.7265625" style="38" hidden="1"/>
  </cols>
  <sheetData>
    <row r="1" spans="2:20" ht="14.5" customHeight="1" x14ac:dyDescent="0.35"/>
    <row r="2" spans="2:20" x14ac:dyDescent="0.35">
      <c r="B2" s="39" t="s">
        <v>80</v>
      </c>
      <c r="C2" s="166" t="str">
        <f>IF(Lists!W6="LOCKED","Please confirm your acceptance of the Terms of Use",SUM(F5:F22))</f>
        <v>Please confirm your acceptance of the Terms of Use</v>
      </c>
      <c r="D2" s="166"/>
      <c r="E2" s="166"/>
      <c r="F2" s="166"/>
    </row>
    <row r="3" spans="2:20" ht="14.5" customHeight="1" thickBot="1" x14ac:dyDescent="0.4">
      <c r="C3" s="40"/>
    </row>
    <row r="4" spans="2:20" ht="22" customHeight="1" thickTop="1" x14ac:dyDescent="0.35">
      <c r="B4" s="26" t="s">
        <v>213</v>
      </c>
      <c r="C4" s="26" t="s">
        <v>221</v>
      </c>
      <c r="D4" s="35" t="s">
        <v>222</v>
      </c>
      <c r="E4" s="29" t="s">
        <v>111</v>
      </c>
      <c r="F4" s="27" t="s">
        <v>13</v>
      </c>
      <c r="H4" s="148" t="s">
        <v>194</v>
      </c>
      <c r="I4" s="158"/>
      <c r="J4" s="158"/>
      <c r="K4" s="159"/>
    </row>
    <row r="5" spans="2:20" ht="22" customHeight="1" x14ac:dyDescent="0.35">
      <c r="B5" s="28"/>
      <c r="C5" s="28"/>
      <c r="D5" s="36"/>
      <c r="E5" s="29" t="str">
        <f>B5&amp;C5</f>
        <v/>
      </c>
      <c r="F5" s="37" t="str">
        <f>IFERROR((VLOOKUP(E5,'Look Ups'!$BD$9:$BE$18,2,FALSE)*'7. On-site Manifolds'!D5),"")</f>
        <v/>
      </c>
      <c r="H5" s="160"/>
      <c r="I5" s="161"/>
      <c r="J5" s="161"/>
      <c r="K5" s="162"/>
      <c r="L5" s="41"/>
      <c r="M5" s="41"/>
      <c r="N5" s="41"/>
      <c r="O5" s="41"/>
      <c r="P5" s="41"/>
      <c r="Q5" s="41"/>
      <c r="R5" s="41"/>
      <c r="S5" s="41"/>
      <c r="T5" s="41"/>
    </row>
    <row r="6" spans="2:20" ht="22" customHeight="1" x14ac:dyDescent="0.35">
      <c r="B6" s="28"/>
      <c r="C6" s="28"/>
      <c r="D6" s="36"/>
      <c r="E6" s="29" t="str">
        <f t="shared" ref="E6:E22" si="0">B6&amp;C6</f>
        <v/>
      </c>
      <c r="F6" s="37" t="str">
        <f>IFERROR((VLOOKUP(E6,'Look Ups'!$BD$9:$BE$18,2,FALSE)*'7. On-site Manifolds'!D6),"")</f>
        <v/>
      </c>
      <c r="H6" s="160"/>
      <c r="I6" s="161"/>
      <c r="J6" s="161"/>
      <c r="K6" s="162"/>
      <c r="L6" s="41"/>
      <c r="M6" s="41"/>
      <c r="N6" s="41"/>
      <c r="O6" s="41"/>
      <c r="P6" s="41"/>
      <c r="Q6" s="41"/>
      <c r="R6" s="41"/>
      <c r="S6" s="41"/>
      <c r="T6" s="41"/>
    </row>
    <row r="7" spans="2:20" ht="22" customHeight="1" x14ac:dyDescent="0.35">
      <c r="B7" s="28"/>
      <c r="C7" s="28"/>
      <c r="D7" s="36"/>
      <c r="E7" s="29" t="str">
        <f t="shared" si="0"/>
        <v/>
      </c>
      <c r="F7" s="37" t="str">
        <f>IFERROR((VLOOKUP(E7,'Look Ups'!$BD$9:$BE$18,2,FALSE)*'7. On-site Manifolds'!D7),"")</f>
        <v/>
      </c>
      <c r="H7" s="160"/>
      <c r="I7" s="161"/>
      <c r="J7" s="161"/>
      <c r="K7" s="162"/>
      <c r="L7" s="41"/>
      <c r="M7" s="41"/>
      <c r="N7" s="41"/>
      <c r="O7" s="41"/>
      <c r="P7" s="41"/>
      <c r="Q7" s="41"/>
      <c r="R7" s="41"/>
      <c r="S7" s="41"/>
      <c r="T7" s="41"/>
    </row>
    <row r="8" spans="2:20" ht="22" customHeight="1" x14ac:dyDescent="0.35">
      <c r="B8" s="28"/>
      <c r="C8" s="28"/>
      <c r="D8" s="36"/>
      <c r="E8" s="29" t="str">
        <f t="shared" si="0"/>
        <v/>
      </c>
      <c r="F8" s="37" t="str">
        <f>IFERROR((VLOOKUP(E8,'Look Ups'!$BD$9:$BE$18,2,FALSE)*'7. On-site Manifolds'!D8),"")</f>
        <v/>
      </c>
      <c r="H8" s="160"/>
      <c r="I8" s="161"/>
      <c r="J8" s="161"/>
      <c r="K8" s="162"/>
      <c r="L8" s="41"/>
      <c r="M8" s="41"/>
      <c r="N8" s="41"/>
      <c r="O8" s="41"/>
      <c r="P8" s="41"/>
      <c r="Q8" s="41"/>
      <c r="R8" s="41"/>
      <c r="S8" s="41"/>
      <c r="T8" s="41"/>
    </row>
    <row r="9" spans="2:20" ht="22" customHeight="1" x14ac:dyDescent="0.35">
      <c r="B9" s="28"/>
      <c r="C9" s="28"/>
      <c r="D9" s="36"/>
      <c r="E9" s="29" t="str">
        <f t="shared" si="0"/>
        <v/>
      </c>
      <c r="F9" s="37" t="str">
        <f>IFERROR((VLOOKUP(E9,'Look Ups'!$BD$9:$BE$18,2,FALSE)*'7. On-site Manifolds'!D9),"")</f>
        <v/>
      </c>
      <c r="H9" s="160"/>
      <c r="I9" s="161"/>
      <c r="J9" s="161"/>
      <c r="K9" s="162"/>
      <c r="L9" s="41"/>
      <c r="M9" s="41"/>
      <c r="N9" s="41"/>
      <c r="O9" s="41"/>
      <c r="P9" s="41"/>
      <c r="Q9" s="41"/>
      <c r="R9" s="41"/>
      <c r="S9" s="41"/>
      <c r="T9" s="41"/>
    </row>
    <row r="10" spans="2:20" ht="22" customHeight="1" x14ac:dyDescent="0.35">
      <c r="B10" s="28"/>
      <c r="C10" s="28"/>
      <c r="D10" s="36"/>
      <c r="E10" s="29" t="str">
        <f t="shared" si="0"/>
        <v/>
      </c>
      <c r="F10" s="37" t="str">
        <f>IFERROR((VLOOKUP(E10,'Look Ups'!$BD$9:$BE$18,2,FALSE)*'7. On-site Manifolds'!D10),"")</f>
        <v/>
      </c>
      <c r="H10" s="160"/>
      <c r="I10" s="161"/>
      <c r="J10" s="161"/>
      <c r="K10" s="162"/>
      <c r="L10" s="41"/>
      <c r="M10" s="41"/>
      <c r="N10" s="41"/>
      <c r="O10" s="41"/>
      <c r="P10" s="41"/>
      <c r="Q10" s="41"/>
      <c r="R10" s="41"/>
      <c r="S10" s="41"/>
      <c r="T10" s="41"/>
    </row>
    <row r="11" spans="2:20" ht="22" customHeight="1" x14ac:dyDescent="0.35">
      <c r="B11" s="28"/>
      <c r="C11" s="28"/>
      <c r="D11" s="36"/>
      <c r="E11" s="29" t="str">
        <f t="shared" si="0"/>
        <v/>
      </c>
      <c r="F11" s="37" t="str">
        <f>IFERROR((VLOOKUP(E11,'Look Ups'!$BD$9:$BE$18,2,FALSE)*'7. On-site Manifolds'!D11),"")</f>
        <v/>
      </c>
      <c r="H11" s="160"/>
      <c r="I11" s="161"/>
      <c r="J11" s="161"/>
      <c r="K11" s="162"/>
      <c r="L11" s="41"/>
      <c r="M11" s="41"/>
      <c r="N11" s="41"/>
      <c r="O11" s="41"/>
      <c r="P11" s="41"/>
      <c r="Q11" s="41"/>
      <c r="R11" s="41"/>
      <c r="S11" s="41"/>
      <c r="T11" s="41"/>
    </row>
    <row r="12" spans="2:20" ht="22" customHeight="1" x14ac:dyDescent="0.35">
      <c r="B12" s="28"/>
      <c r="C12" s="28"/>
      <c r="D12" s="36"/>
      <c r="E12" s="29" t="str">
        <f t="shared" si="0"/>
        <v/>
      </c>
      <c r="F12" s="37" t="str">
        <f>IFERROR((VLOOKUP(E12,'Look Ups'!$BD$9:$BE$18,2,FALSE)*'7. On-site Manifolds'!D12),"")</f>
        <v/>
      </c>
      <c r="H12" s="160"/>
      <c r="I12" s="161"/>
      <c r="J12" s="161"/>
      <c r="K12" s="162"/>
      <c r="L12" s="41"/>
      <c r="M12" s="41"/>
      <c r="N12" s="41"/>
      <c r="O12" s="41"/>
      <c r="P12" s="41"/>
      <c r="Q12" s="41"/>
      <c r="R12" s="41"/>
      <c r="S12" s="41"/>
      <c r="T12" s="41"/>
    </row>
    <row r="13" spans="2:20" ht="22" customHeight="1" x14ac:dyDescent="0.35">
      <c r="B13" s="28"/>
      <c r="C13" s="28"/>
      <c r="D13" s="36"/>
      <c r="E13" s="29" t="str">
        <f t="shared" si="0"/>
        <v/>
      </c>
      <c r="F13" s="37" t="str">
        <f>IFERROR((VLOOKUP(E13,'Look Ups'!$BD$9:$BE$18,2,FALSE)*'7. On-site Manifolds'!D13),"")</f>
        <v/>
      </c>
      <c r="H13" s="160"/>
      <c r="I13" s="161"/>
      <c r="J13" s="161"/>
      <c r="K13" s="162"/>
      <c r="L13" s="41"/>
      <c r="M13" s="41"/>
      <c r="N13" s="41"/>
      <c r="O13" s="41"/>
      <c r="P13" s="41"/>
      <c r="Q13" s="41"/>
      <c r="R13" s="41"/>
      <c r="S13" s="41"/>
      <c r="T13" s="41"/>
    </row>
    <row r="14" spans="2:20" ht="22" customHeight="1" x14ac:dyDescent="0.35">
      <c r="B14" s="28"/>
      <c r="C14" s="28"/>
      <c r="D14" s="36"/>
      <c r="E14" s="29" t="str">
        <f t="shared" si="0"/>
        <v/>
      </c>
      <c r="F14" s="37" t="str">
        <f>IFERROR((VLOOKUP(E14,'Look Ups'!$BD$9:$BE$18,2,FALSE)*'7. On-site Manifolds'!D14),"")</f>
        <v/>
      </c>
      <c r="H14" s="160"/>
      <c r="I14" s="161"/>
      <c r="J14" s="161"/>
      <c r="K14" s="162"/>
      <c r="L14" s="41"/>
      <c r="M14" s="41"/>
      <c r="N14" s="41"/>
      <c r="O14" s="41"/>
      <c r="P14" s="41"/>
      <c r="Q14" s="41"/>
      <c r="R14" s="41"/>
      <c r="S14" s="41"/>
      <c r="T14" s="41"/>
    </row>
    <row r="15" spans="2:20" ht="22" customHeight="1" x14ac:dyDescent="0.35">
      <c r="B15" s="28"/>
      <c r="C15" s="28"/>
      <c r="D15" s="36"/>
      <c r="E15" s="29" t="str">
        <f t="shared" si="0"/>
        <v/>
      </c>
      <c r="F15" s="37" t="str">
        <f>IFERROR((VLOOKUP(E15,'Look Ups'!$BD$9:$BE$18,2,FALSE)*'7. On-site Manifolds'!D15),"")</f>
        <v/>
      </c>
      <c r="H15" s="160"/>
      <c r="I15" s="161"/>
      <c r="J15" s="161"/>
      <c r="K15" s="162"/>
      <c r="L15" s="41"/>
      <c r="M15" s="41"/>
      <c r="N15" s="41"/>
      <c r="O15" s="41"/>
      <c r="P15" s="41"/>
      <c r="Q15" s="41"/>
      <c r="R15" s="41"/>
      <c r="S15" s="41"/>
      <c r="T15" s="41"/>
    </row>
    <row r="16" spans="2:20" ht="22" customHeight="1" x14ac:dyDescent="0.35">
      <c r="B16" s="28"/>
      <c r="C16" s="28"/>
      <c r="D16" s="36"/>
      <c r="E16" s="29" t="str">
        <f t="shared" si="0"/>
        <v/>
      </c>
      <c r="F16" s="37" t="str">
        <f>IFERROR((VLOOKUP(E16,'Look Ups'!$BD$9:$BE$18,2,FALSE)*'7. On-site Manifolds'!D16),"")</f>
        <v/>
      </c>
      <c r="H16" s="160"/>
      <c r="I16" s="161"/>
      <c r="J16" s="161"/>
      <c r="K16" s="162"/>
      <c r="L16" s="41"/>
      <c r="M16" s="41"/>
      <c r="N16" s="41"/>
      <c r="O16" s="41"/>
      <c r="P16" s="41"/>
      <c r="Q16" s="41"/>
      <c r="R16" s="41"/>
      <c r="S16" s="41"/>
      <c r="T16" s="41"/>
    </row>
    <row r="17" spans="2:20" ht="22" customHeight="1" x14ac:dyDescent="0.35">
      <c r="B17" s="28"/>
      <c r="C17" s="28"/>
      <c r="D17" s="36"/>
      <c r="E17" s="29" t="str">
        <f t="shared" si="0"/>
        <v/>
      </c>
      <c r="F17" s="37" t="str">
        <f>IFERROR((VLOOKUP(E17,'Look Ups'!$BD$9:$BE$18,2,FALSE)*'7. On-site Manifolds'!D17),"")</f>
        <v/>
      </c>
      <c r="H17" s="160"/>
      <c r="I17" s="161"/>
      <c r="J17" s="161"/>
      <c r="K17" s="162"/>
      <c r="L17" s="41"/>
      <c r="M17" s="41"/>
      <c r="N17" s="41"/>
      <c r="O17" s="41"/>
      <c r="P17" s="41"/>
      <c r="Q17" s="41"/>
      <c r="R17" s="41"/>
      <c r="S17" s="41"/>
      <c r="T17" s="41"/>
    </row>
    <row r="18" spans="2:20" ht="22" customHeight="1" x14ac:dyDescent="0.35">
      <c r="B18" s="28"/>
      <c r="C18" s="28"/>
      <c r="D18" s="36"/>
      <c r="E18" s="29" t="str">
        <f t="shared" si="0"/>
        <v/>
      </c>
      <c r="F18" s="37" t="str">
        <f>IFERROR((VLOOKUP(E18,'Look Ups'!$BD$9:$BE$18,2,FALSE)*'7. On-site Manifolds'!D18),"")</f>
        <v/>
      </c>
      <c r="H18" s="160"/>
      <c r="I18" s="161"/>
      <c r="J18" s="161"/>
      <c r="K18" s="162"/>
      <c r="L18" s="41"/>
      <c r="M18" s="41"/>
      <c r="N18" s="41"/>
      <c r="O18" s="41"/>
      <c r="P18" s="41"/>
      <c r="Q18" s="41"/>
      <c r="R18" s="41"/>
      <c r="S18" s="41"/>
      <c r="T18" s="41"/>
    </row>
    <row r="19" spans="2:20" ht="22" customHeight="1" x14ac:dyDescent="0.35">
      <c r="B19" s="28"/>
      <c r="C19" s="28"/>
      <c r="D19" s="36"/>
      <c r="E19" s="29" t="str">
        <f t="shared" si="0"/>
        <v/>
      </c>
      <c r="F19" s="37" t="str">
        <f>IFERROR((VLOOKUP(E19,'Look Ups'!$BD$9:$BE$18,2,FALSE)*'7. On-site Manifolds'!D19),"")</f>
        <v/>
      </c>
      <c r="H19" s="160"/>
      <c r="I19" s="161"/>
      <c r="J19" s="161"/>
      <c r="K19" s="162"/>
      <c r="L19" s="41"/>
      <c r="M19" s="41"/>
      <c r="N19" s="41"/>
      <c r="O19" s="41"/>
      <c r="P19" s="41"/>
      <c r="Q19" s="41"/>
      <c r="R19" s="41"/>
      <c r="S19" s="41"/>
      <c r="T19" s="41"/>
    </row>
    <row r="20" spans="2:20" ht="22" customHeight="1" x14ac:dyDescent="0.35">
      <c r="B20" s="28"/>
      <c r="C20" s="28"/>
      <c r="D20" s="36"/>
      <c r="E20" s="29" t="str">
        <f t="shared" si="0"/>
        <v/>
      </c>
      <c r="F20" s="37" t="str">
        <f>IFERROR((VLOOKUP(E20,'Look Ups'!$BD$9:$BE$18,2,FALSE)*'7. On-site Manifolds'!D20),"")</f>
        <v/>
      </c>
      <c r="H20" s="160"/>
      <c r="I20" s="161"/>
      <c r="J20" s="161"/>
      <c r="K20" s="162"/>
      <c r="L20" s="41"/>
      <c r="M20" s="41"/>
      <c r="N20" s="41"/>
      <c r="O20" s="41"/>
      <c r="P20" s="41"/>
      <c r="Q20" s="41"/>
      <c r="R20" s="41"/>
      <c r="S20" s="41"/>
      <c r="T20" s="41"/>
    </row>
    <row r="21" spans="2:20" ht="22" customHeight="1" x14ac:dyDescent="0.35">
      <c r="B21" s="28"/>
      <c r="C21" s="28"/>
      <c r="D21" s="36"/>
      <c r="E21" s="29" t="str">
        <f t="shared" si="0"/>
        <v/>
      </c>
      <c r="F21" s="37" t="str">
        <f>IFERROR((VLOOKUP(E21,'Look Ups'!$BD$9:$BE$18,2,FALSE)*'7. On-site Manifolds'!D21),"")</f>
        <v/>
      </c>
      <c r="H21" s="160"/>
      <c r="I21" s="161"/>
      <c r="J21" s="161"/>
      <c r="K21" s="162"/>
      <c r="L21" s="41"/>
      <c r="M21" s="41"/>
      <c r="N21" s="41"/>
      <c r="O21" s="41"/>
      <c r="P21" s="41"/>
      <c r="Q21" s="41"/>
      <c r="R21" s="41"/>
      <c r="S21" s="41"/>
      <c r="T21" s="41"/>
    </row>
    <row r="22" spans="2:20" ht="22" customHeight="1" thickBot="1" x14ac:dyDescent="0.4">
      <c r="B22" s="28"/>
      <c r="C22" s="28"/>
      <c r="D22" s="36"/>
      <c r="E22" s="29" t="str">
        <f t="shared" si="0"/>
        <v/>
      </c>
      <c r="F22" s="37" t="str">
        <f>IFERROR((VLOOKUP(E22,'Look Ups'!$BD$9:$BE$18,2,FALSE)*'7. On-site Manifolds'!D22),"")</f>
        <v/>
      </c>
      <c r="H22" s="163"/>
      <c r="I22" s="164"/>
      <c r="J22" s="164"/>
      <c r="K22" s="165"/>
      <c r="L22" s="41"/>
      <c r="M22" s="41"/>
      <c r="N22" s="41"/>
      <c r="O22" s="41"/>
      <c r="P22" s="41"/>
      <c r="Q22" s="41"/>
      <c r="R22" s="41"/>
      <c r="S22" s="41"/>
      <c r="T22" s="41"/>
    </row>
    <row r="23" spans="2:20" ht="22" thickTop="1" x14ac:dyDescent="0.35"/>
  </sheetData>
  <sheetProtection algorithmName="SHA-512" hashValue="zEWips0hCEViFpowiURhy5Ht2vJkPwyuyedzBuh6asKwtdWKLFkTjPcbTnc6ecRFEtPRiH9vl5BMKTjR2bZcPA==" saltValue="bvehiGbboLoQ74CWSt4WFA==" spinCount="100000" sheet="1" objects="1" scenarios="1"/>
  <mergeCells count="2">
    <mergeCell ref="C2:F2"/>
    <mergeCell ref="H4:K22"/>
  </mergeCells>
  <conditionalFormatting sqref="F5:F22">
    <cfRule type="expression" dxfId="15" priority="1">
      <formula>$C$2="Please confirm your acceptance of the Terms of Use"</formula>
    </cfRule>
    <cfRule type="expression" dxfId="14" priority="2">
      <formula>$C$2="Please refer to Front Page"</formula>
    </cfRule>
  </conditionalFormatting>
  <dataValidations count="1">
    <dataValidation type="whole" allowBlank="1" showInputMessage="1" showErrorMessage="1" sqref="D5:D22" xr:uid="{C0E61B43-CD6C-4B2B-9A26-0F901A09CDF3}">
      <formula1>0</formula1>
      <formula2>1000000000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B869024-B7D0-472E-B565-A421C1C85DF2}">
          <x14:formula1>
            <xm:f>Lists!$D$1:$D$2</xm:f>
          </x14:formula1>
          <xm:sqref>B5:B22</xm:sqref>
        </x14:dataValidation>
        <x14:dataValidation type="list" allowBlank="1" showInputMessage="1" showErrorMessage="1" xr:uid="{F6B7ADA3-6AFD-4D25-A554-CCED3A8774CA}">
          <x14:formula1>
            <xm:f>Lists!$H$1:$H$5</xm:f>
          </x14:formula1>
          <xm:sqref>C5:C22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C838-9796-45ED-86DC-A11F72AD64A0}">
  <sheetPr codeName="Sheet11">
    <tabColor theme="9" tint="0.39997558519241921"/>
  </sheetPr>
  <dimension ref="A1:AA23"/>
  <sheetViews>
    <sheetView showGridLines="0" showRowColHeaders="0" workbookViewId="0">
      <selection activeCell="F4" sqref="F4:K22"/>
    </sheetView>
  </sheetViews>
  <sheetFormatPr defaultColWidth="0" defaultRowHeight="21.5" zeroHeight="1" x14ac:dyDescent="0.9"/>
  <cols>
    <col min="1" max="1" width="3.453125" style="13" customWidth="1"/>
    <col min="2" max="2" width="20.1796875" style="13" customWidth="1"/>
    <col min="3" max="3" width="21.26953125" style="13" customWidth="1"/>
    <col min="4" max="4" width="58.453125" style="13" customWidth="1"/>
    <col min="5" max="5" width="3.453125" style="13" customWidth="1"/>
    <col min="6" max="12" width="8.7265625" style="13" customWidth="1"/>
    <col min="13" max="27" width="0" style="13" hidden="1" customWidth="1"/>
    <col min="28" max="16384" width="8.7265625" style="13" hidden="1"/>
  </cols>
  <sheetData>
    <row r="1" spans="2:25" ht="14.5" customHeight="1" x14ac:dyDescent="0.9"/>
    <row r="2" spans="2:25" x14ac:dyDescent="0.9">
      <c r="B2" s="22" t="s">
        <v>80</v>
      </c>
      <c r="C2" s="166" t="str">
        <f>IF(Lists!W6="LOCKED","Please confirm your acceptance of the Terms of Use",SUM(D5:D22))</f>
        <v>Please confirm your acceptance of the Terms of Use</v>
      </c>
      <c r="D2" s="166"/>
    </row>
    <row r="3" spans="2:25" ht="14.5" customHeight="1" thickBot="1" x14ac:dyDescent="0.95">
      <c r="C3" s="23"/>
    </row>
    <row r="4" spans="2:25" ht="22" customHeight="1" x14ac:dyDescent="0.9">
      <c r="B4" s="35" t="s">
        <v>110</v>
      </c>
      <c r="C4" s="35" t="s">
        <v>223</v>
      </c>
      <c r="D4" s="27" t="s">
        <v>13</v>
      </c>
      <c r="F4" s="132" t="s">
        <v>242</v>
      </c>
      <c r="G4" s="133"/>
      <c r="H4" s="133"/>
      <c r="I4" s="133"/>
      <c r="J4" s="133"/>
      <c r="K4" s="134"/>
      <c r="L4" s="41"/>
      <c r="M4" s="41"/>
      <c r="N4" s="41"/>
      <c r="O4" s="41"/>
      <c r="P4" s="41"/>
      <c r="Q4" s="41"/>
      <c r="R4" s="41"/>
      <c r="S4" s="41"/>
      <c r="T4" s="41"/>
      <c r="U4" s="41"/>
      <c r="V4" s="41"/>
      <c r="W4" s="41"/>
      <c r="X4" s="41"/>
      <c r="Y4" s="41"/>
    </row>
    <row r="5" spans="2:25" ht="22" customHeight="1" x14ac:dyDescent="0.9">
      <c r="B5" s="36"/>
      <c r="C5" s="36"/>
      <c r="D5" s="37" t="str">
        <f>IFERROR((VLOOKUP(B5,'Look Ups'!$BH$7:$BI$17,2,FALSE)*'8. Meters For Self Lay'!C5),"")</f>
        <v/>
      </c>
      <c r="F5" s="135"/>
      <c r="G5" s="136"/>
      <c r="H5" s="136"/>
      <c r="I5" s="136"/>
      <c r="J5" s="136"/>
      <c r="K5" s="137"/>
      <c r="L5" s="41"/>
      <c r="M5" s="41"/>
      <c r="N5" s="41"/>
      <c r="O5" s="41"/>
      <c r="P5" s="41"/>
      <c r="Q5" s="41"/>
      <c r="R5" s="41"/>
      <c r="S5" s="41"/>
      <c r="T5" s="41"/>
      <c r="U5" s="41"/>
      <c r="V5" s="41"/>
      <c r="W5" s="41"/>
      <c r="X5" s="41"/>
      <c r="Y5" s="41"/>
    </row>
    <row r="6" spans="2:25" ht="22" customHeight="1" x14ac:dyDescent="0.9">
      <c r="B6" s="36"/>
      <c r="C6" s="36"/>
      <c r="D6" s="37" t="str">
        <f>IFERROR((VLOOKUP(B6,'Look Ups'!$BH$7:$BI$17,2,FALSE)*'8. Meters For Self Lay'!C6),"")</f>
        <v/>
      </c>
      <c r="F6" s="135"/>
      <c r="G6" s="136"/>
      <c r="H6" s="136"/>
      <c r="I6" s="136"/>
      <c r="J6" s="136"/>
      <c r="K6" s="137"/>
      <c r="L6" s="41"/>
      <c r="M6" s="41"/>
      <c r="N6" s="41"/>
      <c r="O6" s="41"/>
      <c r="P6" s="41"/>
      <c r="Q6" s="41"/>
      <c r="R6" s="41"/>
      <c r="S6" s="41"/>
      <c r="T6" s="41"/>
      <c r="U6" s="41"/>
      <c r="V6" s="41"/>
      <c r="W6" s="41"/>
      <c r="X6" s="41"/>
      <c r="Y6" s="41"/>
    </row>
    <row r="7" spans="2:25" ht="22" customHeight="1" x14ac:dyDescent="0.9">
      <c r="B7" s="36"/>
      <c r="C7" s="36"/>
      <c r="D7" s="37" t="str">
        <f>IFERROR((VLOOKUP(B7,'Look Ups'!$BH$7:$BI$17,2,FALSE)*'8. Meters For Self Lay'!C7),"")</f>
        <v/>
      </c>
      <c r="F7" s="135"/>
      <c r="G7" s="136"/>
      <c r="H7" s="136"/>
      <c r="I7" s="136"/>
      <c r="J7" s="136"/>
      <c r="K7" s="137"/>
      <c r="L7" s="41"/>
      <c r="M7" s="41"/>
      <c r="N7" s="41"/>
      <c r="O7" s="41"/>
      <c r="P7" s="41"/>
      <c r="Q7" s="41"/>
      <c r="R7" s="41"/>
      <c r="S7" s="41"/>
      <c r="T7" s="41"/>
      <c r="U7" s="41"/>
      <c r="V7" s="41"/>
      <c r="W7" s="41"/>
      <c r="X7" s="41"/>
      <c r="Y7" s="41"/>
    </row>
    <row r="8" spans="2:25" ht="22" customHeight="1" x14ac:dyDescent="0.9">
      <c r="B8" s="36"/>
      <c r="C8" s="36"/>
      <c r="D8" s="37" t="str">
        <f>IFERROR((VLOOKUP(B8,'Look Ups'!$BH$7:$BI$17,2,FALSE)*'8. Meters For Self Lay'!C8),"")</f>
        <v/>
      </c>
      <c r="F8" s="135"/>
      <c r="G8" s="136"/>
      <c r="H8" s="136"/>
      <c r="I8" s="136"/>
      <c r="J8" s="136"/>
      <c r="K8" s="137"/>
      <c r="L8" s="41"/>
      <c r="M8" s="41"/>
      <c r="N8" s="41"/>
      <c r="O8" s="41"/>
      <c r="P8" s="41"/>
      <c r="Q8" s="41"/>
      <c r="R8" s="41"/>
      <c r="S8" s="41"/>
      <c r="T8" s="41"/>
      <c r="U8" s="41"/>
      <c r="V8" s="41"/>
      <c r="W8" s="41"/>
      <c r="X8" s="41"/>
      <c r="Y8" s="41"/>
    </row>
    <row r="9" spans="2:25" ht="22" customHeight="1" x14ac:dyDescent="0.9">
      <c r="B9" s="36"/>
      <c r="C9" s="36"/>
      <c r="D9" s="37" t="str">
        <f>IFERROR((VLOOKUP(B9,'Look Ups'!$BH$7:$BI$17,2,FALSE)*'8. Meters For Self Lay'!C9),"")</f>
        <v/>
      </c>
      <c r="F9" s="135"/>
      <c r="G9" s="136"/>
      <c r="H9" s="136"/>
      <c r="I9" s="136"/>
      <c r="J9" s="136"/>
      <c r="K9" s="137"/>
      <c r="L9" s="41"/>
      <c r="M9" s="41"/>
      <c r="N9" s="41"/>
      <c r="O9" s="41"/>
      <c r="P9" s="41"/>
      <c r="Q9" s="41"/>
      <c r="R9" s="41"/>
      <c r="S9" s="41"/>
      <c r="T9" s="41"/>
      <c r="U9" s="41"/>
      <c r="V9" s="41"/>
      <c r="W9" s="41"/>
      <c r="X9" s="41"/>
      <c r="Y9" s="41"/>
    </row>
    <row r="10" spans="2:25" ht="22" customHeight="1" x14ac:dyDescent="0.9">
      <c r="B10" s="36"/>
      <c r="C10" s="36"/>
      <c r="D10" s="37" t="str">
        <f>IFERROR((VLOOKUP(B10,'Look Ups'!$BH$7:$BI$17,2,FALSE)*'8. Meters For Self Lay'!C10),"")</f>
        <v/>
      </c>
      <c r="F10" s="135"/>
      <c r="G10" s="136"/>
      <c r="H10" s="136"/>
      <c r="I10" s="136"/>
      <c r="J10" s="136"/>
      <c r="K10" s="137"/>
      <c r="L10" s="41"/>
      <c r="M10" s="41"/>
      <c r="N10" s="41"/>
      <c r="O10" s="41"/>
      <c r="P10" s="41"/>
      <c r="Q10" s="41"/>
      <c r="R10" s="41"/>
      <c r="S10" s="41"/>
      <c r="T10" s="41"/>
      <c r="U10" s="41"/>
      <c r="V10" s="41"/>
      <c r="W10" s="41"/>
      <c r="X10" s="41"/>
      <c r="Y10" s="41"/>
    </row>
    <row r="11" spans="2:25" ht="22" customHeight="1" x14ac:dyDescent="0.9">
      <c r="B11" s="36"/>
      <c r="C11" s="36"/>
      <c r="D11" s="37" t="str">
        <f>IFERROR((VLOOKUP(B11,'Look Ups'!$BH$7:$BI$17,2,FALSE)*'8. Meters For Self Lay'!C11),"")</f>
        <v/>
      </c>
      <c r="F11" s="135"/>
      <c r="G11" s="136"/>
      <c r="H11" s="136"/>
      <c r="I11" s="136"/>
      <c r="J11" s="136"/>
      <c r="K11" s="137"/>
      <c r="L11" s="41"/>
      <c r="M11" s="41"/>
      <c r="N11" s="41"/>
      <c r="O11" s="41"/>
      <c r="P11" s="41"/>
      <c r="Q11" s="41"/>
      <c r="R11" s="41"/>
      <c r="S11" s="41"/>
      <c r="T11" s="41"/>
      <c r="U11" s="41"/>
      <c r="V11" s="41"/>
      <c r="W11" s="41"/>
      <c r="X11" s="41"/>
      <c r="Y11" s="41"/>
    </row>
    <row r="12" spans="2:25" ht="22" customHeight="1" x14ac:dyDescent="0.9">
      <c r="B12" s="36"/>
      <c r="C12" s="36"/>
      <c r="D12" s="37" t="str">
        <f>IFERROR((VLOOKUP(B12,'Look Ups'!$BH$7:$BI$17,2,FALSE)*'8. Meters For Self Lay'!C12),"")</f>
        <v/>
      </c>
      <c r="F12" s="135"/>
      <c r="G12" s="136"/>
      <c r="H12" s="136"/>
      <c r="I12" s="136"/>
      <c r="J12" s="136"/>
      <c r="K12" s="137"/>
      <c r="L12" s="41"/>
      <c r="M12" s="41"/>
      <c r="N12" s="41"/>
      <c r="O12" s="41"/>
      <c r="P12" s="41"/>
      <c r="Q12" s="41"/>
      <c r="R12" s="41"/>
      <c r="S12" s="41"/>
      <c r="T12" s="41"/>
      <c r="U12" s="41"/>
      <c r="V12" s="41"/>
      <c r="W12" s="41"/>
      <c r="X12" s="41"/>
      <c r="Y12" s="41"/>
    </row>
    <row r="13" spans="2:25" ht="22" customHeight="1" x14ac:dyDescent="0.9">
      <c r="B13" s="36"/>
      <c r="C13" s="36"/>
      <c r="D13" s="37" t="str">
        <f>IFERROR((VLOOKUP(B13,'Look Ups'!$BH$7:$BI$17,2,FALSE)*'8. Meters For Self Lay'!C13),"")</f>
        <v/>
      </c>
      <c r="F13" s="135"/>
      <c r="G13" s="136"/>
      <c r="H13" s="136"/>
      <c r="I13" s="136"/>
      <c r="J13" s="136"/>
      <c r="K13" s="137"/>
      <c r="L13" s="41"/>
      <c r="M13" s="41"/>
      <c r="N13" s="41"/>
      <c r="O13" s="41"/>
      <c r="P13" s="41"/>
      <c r="Q13" s="41"/>
      <c r="R13" s="41"/>
      <c r="S13" s="41"/>
      <c r="T13" s="41"/>
      <c r="U13" s="41"/>
      <c r="V13" s="41"/>
      <c r="W13" s="41"/>
      <c r="X13" s="41"/>
      <c r="Y13" s="41"/>
    </row>
    <row r="14" spans="2:25" ht="22" customHeight="1" x14ac:dyDescent="0.9">
      <c r="B14" s="36"/>
      <c r="C14" s="36"/>
      <c r="D14" s="37" t="str">
        <f>IFERROR((VLOOKUP(B14,'Look Ups'!$BH$7:$BI$17,2,FALSE)*'8. Meters For Self Lay'!C14),"")</f>
        <v/>
      </c>
      <c r="F14" s="135"/>
      <c r="G14" s="136"/>
      <c r="H14" s="136"/>
      <c r="I14" s="136"/>
      <c r="J14" s="136"/>
      <c r="K14" s="137"/>
      <c r="L14" s="41"/>
      <c r="M14" s="41"/>
      <c r="N14" s="41"/>
      <c r="O14" s="41"/>
      <c r="P14" s="41"/>
      <c r="Q14" s="41"/>
      <c r="R14" s="41"/>
      <c r="S14" s="41"/>
      <c r="T14" s="41"/>
      <c r="U14" s="41"/>
      <c r="V14" s="41"/>
      <c r="W14" s="41"/>
      <c r="X14" s="41"/>
      <c r="Y14" s="41"/>
    </row>
    <row r="15" spans="2:25" ht="22" customHeight="1" x14ac:dyDescent="0.9">
      <c r="B15" s="36"/>
      <c r="C15" s="36"/>
      <c r="D15" s="37" t="str">
        <f>IFERROR((VLOOKUP(B15,'Look Ups'!$BH$7:$BI$17,2,FALSE)*'8. Meters For Self Lay'!C15),"")</f>
        <v/>
      </c>
      <c r="F15" s="135"/>
      <c r="G15" s="136"/>
      <c r="H15" s="136"/>
      <c r="I15" s="136"/>
      <c r="J15" s="136"/>
      <c r="K15" s="137"/>
      <c r="L15" s="41"/>
      <c r="M15" s="41"/>
      <c r="N15" s="41"/>
      <c r="O15" s="41"/>
      <c r="P15" s="41"/>
      <c r="Q15" s="41"/>
      <c r="R15" s="41"/>
      <c r="S15" s="41"/>
      <c r="T15" s="41"/>
      <c r="U15" s="41"/>
      <c r="V15" s="41"/>
      <c r="W15" s="41"/>
      <c r="X15" s="41"/>
      <c r="Y15" s="41"/>
    </row>
    <row r="16" spans="2:25" ht="22" customHeight="1" x14ac:dyDescent="0.9">
      <c r="B16" s="36"/>
      <c r="C16" s="36"/>
      <c r="D16" s="37" t="str">
        <f>IFERROR((VLOOKUP(B16,'Look Ups'!$BH$7:$BI$17,2,FALSE)*'8. Meters For Self Lay'!C16),"")</f>
        <v/>
      </c>
      <c r="F16" s="135"/>
      <c r="G16" s="136"/>
      <c r="H16" s="136"/>
      <c r="I16" s="136"/>
      <c r="J16" s="136"/>
      <c r="K16" s="137"/>
      <c r="L16" s="41"/>
      <c r="M16" s="41"/>
      <c r="N16" s="41"/>
      <c r="O16" s="41"/>
      <c r="P16" s="41"/>
      <c r="Q16" s="41"/>
      <c r="R16" s="41"/>
      <c r="S16" s="41"/>
      <c r="T16" s="41"/>
      <c r="U16" s="41"/>
      <c r="V16" s="41"/>
      <c r="W16" s="41"/>
      <c r="X16" s="41"/>
      <c r="Y16" s="41"/>
    </row>
    <row r="17" spans="2:27" ht="22" customHeight="1" x14ac:dyDescent="0.9">
      <c r="B17" s="36"/>
      <c r="C17" s="36"/>
      <c r="D17" s="37" t="str">
        <f>IFERROR((VLOOKUP(B17,'Look Ups'!$BH$7:$BI$17,2,FALSE)*'8. Meters For Self Lay'!C17),"")</f>
        <v/>
      </c>
      <c r="F17" s="135"/>
      <c r="G17" s="136"/>
      <c r="H17" s="136"/>
      <c r="I17" s="136"/>
      <c r="J17" s="136"/>
      <c r="K17" s="137"/>
      <c r="L17" s="41"/>
      <c r="M17" s="41"/>
      <c r="N17" s="41"/>
      <c r="O17" s="41"/>
      <c r="P17" s="41"/>
      <c r="Q17" s="41"/>
      <c r="R17" s="41"/>
      <c r="S17" s="41"/>
      <c r="T17" s="41"/>
      <c r="U17" s="41"/>
      <c r="V17" s="41"/>
      <c r="W17" s="41"/>
      <c r="X17" s="41"/>
      <c r="Y17" s="41"/>
    </row>
    <row r="18" spans="2:27" ht="22" customHeight="1" x14ac:dyDescent="0.9">
      <c r="B18" s="36"/>
      <c r="C18" s="36"/>
      <c r="D18" s="37" t="str">
        <f>IFERROR((VLOOKUP(B18,'Look Ups'!$BH$7:$BI$17,2,FALSE)*'8. Meters For Self Lay'!C18),"")</f>
        <v/>
      </c>
      <c r="F18" s="135"/>
      <c r="G18" s="136"/>
      <c r="H18" s="136"/>
      <c r="I18" s="136"/>
      <c r="J18" s="136"/>
      <c r="K18" s="137"/>
      <c r="L18" s="41"/>
      <c r="M18" s="41"/>
      <c r="N18" s="41"/>
      <c r="O18" s="41"/>
      <c r="P18" s="41"/>
      <c r="Q18" s="41"/>
      <c r="R18" s="41"/>
      <c r="S18" s="41"/>
      <c r="T18" s="41"/>
      <c r="U18" s="41"/>
      <c r="V18" s="41"/>
      <c r="W18" s="41"/>
      <c r="X18" s="41"/>
      <c r="Y18" s="41"/>
    </row>
    <row r="19" spans="2:27" ht="22" customHeight="1" x14ac:dyDescent="0.9">
      <c r="B19" s="36"/>
      <c r="C19" s="36"/>
      <c r="D19" s="37" t="str">
        <f>IFERROR((VLOOKUP(B19,'Look Ups'!$BH$7:$BI$17,2,FALSE)*'8. Meters For Self Lay'!C19),"")</f>
        <v/>
      </c>
      <c r="F19" s="135"/>
      <c r="G19" s="136"/>
      <c r="H19" s="136"/>
      <c r="I19" s="136"/>
      <c r="J19" s="136"/>
      <c r="K19" s="137"/>
      <c r="L19" s="41"/>
      <c r="M19" s="41"/>
      <c r="N19" s="41"/>
      <c r="O19" s="41"/>
      <c r="P19" s="41"/>
      <c r="Q19" s="41"/>
      <c r="R19" s="41"/>
      <c r="S19" s="41"/>
      <c r="T19" s="41"/>
      <c r="U19" s="41"/>
      <c r="V19" s="41"/>
      <c r="W19" s="41"/>
      <c r="X19" s="41"/>
      <c r="Y19" s="41"/>
    </row>
    <row r="20" spans="2:27" ht="22" customHeight="1" x14ac:dyDescent="0.9">
      <c r="B20" s="36"/>
      <c r="C20" s="36"/>
      <c r="D20" s="37" t="str">
        <f>IFERROR((VLOOKUP(B20,'Look Ups'!$BH$7:$BI$17,2,FALSE)*'8. Meters For Self Lay'!C20),"")</f>
        <v/>
      </c>
      <c r="F20" s="135"/>
      <c r="G20" s="136"/>
      <c r="H20" s="136"/>
      <c r="I20" s="136"/>
      <c r="J20" s="136"/>
      <c r="K20" s="137"/>
      <c r="L20" s="41"/>
      <c r="M20" s="41"/>
      <c r="N20" s="41"/>
      <c r="O20" s="41"/>
      <c r="P20" s="41"/>
      <c r="Q20" s="41"/>
      <c r="R20" s="41"/>
      <c r="S20" s="41"/>
      <c r="T20" s="41"/>
      <c r="U20" s="41"/>
      <c r="V20" s="41"/>
      <c r="W20" s="41"/>
      <c r="X20" s="41"/>
      <c r="Y20" s="41"/>
    </row>
    <row r="21" spans="2:27" ht="22" customHeight="1" x14ac:dyDescent="0.9">
      <c r="B21" s="36"/>
      <c r="C21" s="36"/>
      <c r="D21" s="37" t="str">
        <f>IFERROR((VLOOKUP(B21,'Look Ups'!$BH$7:$BI$17,2,FALSE)*'8. Meters For Self Lay'!C21),"")</f>
        <v/>
      </c>
      <c r="F21" s="135"/>
      <c r="G21" s="136"/>
      <c r="H21" s="136"/>
      <c r="I21" s="136"/>
      <c r="J21" s="136"/>
      <c r="K21" s="137"/>
      <c r="L21" s="41"/>
      <c r="M21" s="41"/>
      <c r="N21" s="41"/>
      <c r="O21" s="41"/>
      <c r="P21" s="41"/>
      <c r="Q21" s="41"/>
      <c r="R21" s="41"/>
      <c r="S21" s="41"/>
      <c r="T21" s="41"/>
      <c r="U21" s="41"/>
      <c r="V21" s="41"/>
      <c r="W21" s="41"/>
      <c r="X21" s="41"/>
      <c r="Y21" s="41"/>
    </row>
    <row r="22" spans="2:27" ht="22" customHeight="1" thickBot="1" x14ac:dyDescent="0.95">
      <c r="B22" s="36"/>
      <c r="C22" s="36"/>
      <c r="D22" s="37" t="str">
        <f>IFERROR((VLOOKUP(B22,'Look Ups'!$BH$7:$BI$17,2,FALSE)*'8. Meters For Self Lay'!C22),"")</f>
        <v/>
      </c>
      <c r="F22" s="138"/>
      <c r="G22" s="139"/>
      <c r="H22" s="139"/>
      <c r="I22" s="139"/>
      <c r="J22" s="139"/>
      <c r="K22" s="140"/>
      <c r="L22" s="41"/>
      <c r="M22" s="41"/>
      <c r="N22" s="41"/>
      <c r="O22" s="41"/>
      <c r="P22" s="41"/>
      <c r="Q22" s="41"/>
      <c r="R22" s="41"/>
      <c r="S22" s="41"/>
      <c r="T22" s="41"/>
      <c r="U22" s="41"/>
      <c r="V22" s="41"/>
      <c r="W22" s="41"/>
      <c r="X22" s="41"/>
      <c r="Y22" s="41"/>
      <c r="AA22" s="21"/>
    </row>
    <row r="23" spans="2:27" ht="22" customHeight="1" x14ac:dyDescent="0.9">
      <c r="J23" s="41"/>
      <c r="K23" s="41"/>
      <c r="L23" s="41"/>
      <c r="M23" s="41"/>
      <c r="N23" s="41"/>
      <c r="O23" s="41"/>
      <c r="P23" s="41"/>
      <c r="Q23" s="41"/>
      <c r="R23" s="41"/>
      <c r="S23" s="41"/>
      <c r="T23" s="41"/>
      <c r="U23" s="41"/>
      <c r="V23" s="41"/>
      <c r="W23" s="41"/>
      <c r="X23" s="41"/>
      <c r="Y23" s="41"/>
    </row>
  </sheetData>
  <sheetProtection algorithmName="SHA-512" hashValue="0qzuxVR7S3INoT+q3dJ4Uo56Uo7wYo66uZ6H4gVb+QFIjM1qrPj93Vu2GS4i6U28GiBrcgy7Q9k294s8wkyqoA==" saltValue="la756q/egt2fH1CwvdVPgg==" spinCount="100000" sheet="1" objects="1" scenarios="1"/>
  <mergeCells count="2">
    <mergeCell ref="C2:D2"/>
    <mergeCell ref="F4:K22"/>
  </mergeCells>
  <conditionalFormatting sqref="D5:D22">
    <cfRule type="expression" dxfId="13" priority="1">
      <formula>$C$2="Please confirm your acceptance of the Terms of Use"</formula>
    </cfRule>
    <cfRule type="expression" dxfId="12" priority="2">
      <formula>$C$2="Please refer to Front Page"</formula>
    </cfRule>
  </conditionalFormatting>
  <dataValidations count="1">
    <dataValidation type="whole" allowBlank="1" showInputMessage="1" showErrorMessage="1" sqref="C5:C22" xr:uid="{AE7C352C-8BD7-4E27-9B2C-71C1AF0D86C7}">
      <formula1>0</formula1>
      <formula2>10000000000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6EA5114-1070-4BBF-A524-78967F124363}">
          <x14:formula1>
            <xm:f>Lists!$I$1:$I$11</xm:f>
          </x14:formula1>
          <xm:sqref>B5:B22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15FFE-BBF2-403B-A8F6-9DDBF2AE2468}">
  <sheetPr codeName="Sheet12">
    <tabColor theme="9" tint="0.39997558519241921"/>
  </sheetPr>
  <dimension ref="A1:Y23"/>
  <sheetViews>
    <sheetView showGridLines="0" showRowColHeaders="0" workbookViewId="0">
      <selection activeCell="B5" sqref="B5"/>
    </sheetView>
  </sheetViews>
  <sheetFormatPr defaultColWidth="0" defaultRowHeight="21.5" zeroHeight="1" x14ac:dyDescent="0.35"/>
  <cols>
    <col min="1" max="1" width="3.453125" style="38" customWidth="1"/>
    <col min="2" max="2" width="20.1796875" style="38" customWidth="1"/>
    <col min="3" max="3" width="21.26953125" style="38" customWidth="1"/>
    <col min="4" max="4" width="47.81640625" style="38" customWidth="1"/>
    <col min="5" max="5" width="3.453125" style="38" customWidth="1"/>
    <col min="6" max="10" width="8.7265625" style="38" customWidth="1"/>
    <col min="11" max="25" width="0" style="38" hidden="1" customWidth="1"/>
    <col min="26" max="16384" width="8.7265625" style="38" hidden="1"/>
  </cols>
  <sheetData>
    <row r="1" spans="2:25" ht="14.5" customHeight="1" x14ac:dyDescent="0.35"/>
    <row r="2" spans="2:25" x14ac:dyDescent="0.35">
      <c r="B2" s="39" t="s">
        <v>80</v>
      </c>
      <c r="C2" s="166" t="str">
        <f>IF(Lists!W6="LOCKED","Please confirm your acceptance of the Terms of Use",SUM(D5:D22))</f>
        <v>Please confirm your acceptance of the Terms of Use</v>
      </c>
      <c r="D2" s="166"/>
    </row>
    <row r="3" spans="2:25" ht="14.5" customHeight="1" thickBot="1" x14ac:dyDescent="0.4">
      <c r="C3" s="40"/>
    </row>
    <row r="4" spans="2:25" ht="22" customHeight="1" thickTop="1" x14ac:dyDescent="0.35">
      <c r="B4" s="26" t="s">
        <v>110</v>
      </c>
      <c r="C4" s="26" t="s">
        <v>223</v>
      </c>
      <c r="D4" s="27" t="s">
        <v>13</v>
      </c>
      <c r="F4" s="148" t="s">
        <v>195</v>
      </c>
      <c r="G4" s="158"/>
      <c r="H4" s="158"/>
      <c r="I4" s="159"/>
      <c r="J4" s="41"/>
      <c r="K4" s="41"/>
      <c r="L4" s="41"/>
      <c r="M4" s="41"/>
      <c r="N4" s="41"/>
      <c r="O4" s="41"/>
      <c r="P4" s="41"/>
      <c r="Q4" s="41"/>
      <c r="R4" s="41"/>
      <c r="S4" s="41"/>
      <c r="T4" s="41"/>
      <c r="U4" s="41"/>
      <c r="V4" s="41"/>
      <c r="W4" s="41"/>
      <c r="X4" s="41"/>
      <c r="Y4" s="41"/>
    </row>
    <row r="5" spans="2:25" ht="22" customHeight="1" x14ac:dyDescent="0.35">
      <c r="B5" s="28"/>
      <c r="C5" s="28"/>
      <c r="D5" s="37" t="str">
        <f>IFERROR((VLOOKUP(B5,'Look Ups'!$BH$7:$BI$17,2,FALSE)*'9. Meters For Flats'!C5),"")</f>
        <v/>
      </c>
      <c r="F5" s="160"/>
      <c r="G5" s="161"/>
      <c r="H5" s="161"/>
      <c r="I5" s="162"/>
      <c r="J5" s="41"/>
      <c r="K5" s="41"/>
      <c r="L5" s="41"/>
      <c r="M5" s="41"/>
      <c r="N5" s="41"/>
      <c r="O5" s="41"/>
      <c r="P5" s="41"/>
      <c r="Q5" s="41"/>
      <c r="R5" s="41"/>
      <c r="S5" s="41"/>
      <c r="T5" s="41"/>
      <c r="U5" s="41"/>
      <c r="V5" s="41"/>
      <c r="W5" s="41"/>
      <c r="X5" s="41"/>
      <c r="Y5" s="41"/>
    </row>
    <row r="6" spans="2:25" ht="22" customHeight="1" x14ac:dyDescent="0.35">
      <c r="B6" s="28"/>
      <c r="C6" s="28"/>
      <c r="D6" s="37" t="str">
        <f>IFERROR((VLOOKUP(B6,'Look Ups'!$BH$7:$BI$17,2,FALSE)*'9. Meters For Flats'!C6),"")</f>
        <v/>
      </c>
      <c r="F6" s="160"/>
      <c r="G6" s="161"/>
      <c r="H6" s="161"/>
      <c r="I6" s="162"/>
      <c r="J6" s="41"/>
      <c r="K6" s="41"/>
      <c r="L6" s="41"/>
      <c r="M6" s="41"/>
      <c r="N6" s="41"/>
      <c r="O6" s="41"/>
      <c r="P6" s="41"/>
      <c r="Q6" s="41"/>
      <c r="R6" s="41"/>
      <c r="S6" s="41"/>
      <c r="T6" s="41"/>
      <c r="U6" s="41"/>
      <c r="V6" s="41"/>
      <c r="W6" s="41"/>
      <c r="X6" s="41"/>
      <c r="Y6" s="41"/>
    </row>
    <row r="7" spans="2:25" ht="22" customHeight="1" x14ac:dyDescent="0.35">
      <c r="B7" s="28"/>
      <c r="C7" s="28"/>
      <c r="D7" s="37" t="str">
        <f>IFERROR((VLOOKUP(B7,'Look Ups'!$BH$7:$BI$17,2,FALSE)*'9. Meters For Flats'!C7),"")</f>
        <v/>
      </c>
      <c r="F7" s="160"/>
      <c r="G7" s="161"/>
      <c r="H7" s="161"/>
      <c r="I7" s="162"/>
      <c r="J7" s="41"/>
      <c r="K7" s="41"/>
      <c r="L7" s="41"/>
      <c r="M7" s="41"/>
      <c r="N7" s="41"/>
      <c r="O7" s="41"/>
      <c r="P7" s="41"/>
      <c r="Q7" s="41"/>
      <c r="R7" s="41"/>
      <c r="S7" s="41"/>
      <c r="T7" s="41"/>
      <c r="U7" s="41"/>
      <c r="V7" s="41"/>
      <c r="W7" s="41"/>
      <c r="X7" s="41"/>
      <c r="Y7" s="41"/>
    </row>
    <row r="8" spans="2:25" ht="22" customHeight="1" x14ac:dyDescent="0.35">
      <c r="B8" s="28"/>
      <c r="C8" s="28"/>
      <c r="D8" s="37" t="str">
        <f>IFERROR((VLOOKUP(B8,'Look Ups'!$BH$7:$BI$17,2,FALSE)*'9. Meters For Flats'!C8),"")</f>
        <v/>
      </c>
      <c r="F8" s="160"/>
      <c r="G8" s="161"/>
      <c r="H8" s="161"/>
      <c r="I8" s="162"/>
      <c r="J8" s="41"/>
      <c r="K8" s="41"/>
      <c r="L8" s="41"/>
      <c r="M8" s="41"/>
      <c r="N8" s="41"/>
      <c r="O8" s="41"/>
      <c r="P8" s="41"/>
      <c r="Q8" s="41"/>
      <c r="R8" s="41"/>
      <c r="S8" s="41"/>
      <c r="T8" s="41"/>
      <c r="U8" s="41"/>
      <c r="V8" s="41"/>
      <c r="W8" s="41"/>
      <c r="X8" s="41"/>
      <c r="Y8" s="41"/>
    </row>
    <row r="9" spans="2:25" ht="22" customHeight="1" x14ac:dyDescent="0.35">
      <c r="B9" s="28"/>
      <c r="C9" s="28"/>
      <c r="D9" s="37" t="str">
        <f>IFERROR((VLOOKUP(B9,'Look Ups'!$BH$7:$BI$17,2,FALSE)*'9. Meters For Flats'!C9),"")</f>
        <v/>
      </c>
      <c r="F9" s="160"/>
      <c r="G9" s="161"/>
      <c r="H9" s="161"/>
      <c r="I9" s="162"/>
      <c r="J9" s="41"/>
      <c r="K9" s="41"/>
      <c r="L9" s="41"/>
      <c r="M9" s="41"/>
      <c r="N9" s="41"/>
      <c r="O9" s="41"/>
      <c r="P9" s="41"/>
      <c r="Q9" s="41"/>
      <c r="R9" s="41"/>
      <c r="S9" s="41"/>
      <c r="T9" s="41"/>
      <c r="U9" s="41"/>
      <c r="V9" s="41"/>
      <c r="W9" s="41"/>
      <c r="X9" s="41"/>
      <c r="Y9" s="41"/>
    </row>
    <row r="10" spans="2:25" ht="22" customHeight="1" x14ac:dyDescent="0.35">
      <c r="B10" s="28"/>
      <c r="C10" s="28"/>
      <c r="D10" s="37" t="str">
        <f>IFERROR((VLOOKUP(B10,'Look Ups'!$BH$7:$BI$17,2,FALSE)*'9. Meters For Flats'!C10),"")</f>
        <v/>
      </c>
      <c r="F10" s="160"/>
      <c r="G10" s="161"/>
      <c r="H10" s="161"/>
      <c r="I10" s="162"/>
      <c r="J10" s="41"/>
      <c r="K10" s="41"/>
      <c r="L10" s="41"/>
      <c r="M10" s="41"/>
      <c r="N10" s="41"/>
      <c r="O10" s="41"/>
      <c r="P10" s="41"/>
      <c r="Q10" s="41"/>
      <c r="R10" s="41"/>
      <c r="S10" s="41"/>
      <c r="T10" s="41"/>
      <c r="U10" s="41"/>
      <c r="V10" s="41"/>
      <c r="W10" s="41"/>
      <c r="X10" s="41"/>
      <c r="Y10" s="41"/>
    </row>
    <row r="11" spans="2:25" ht="22" customHeight="1" x14ac:dyDescent="0.35">
      <c r="B11" s="28"/>
      <c r="C11" s="28"/>
      <c r="D11" s="37" t="str">
        <f>IFERROR((VLOOKUP(B11,'Look Ups'!$BH$7:$BI$17,2,FALSE)*'9. Meters For Flats'!C11),"")</f>
        <v/>
      </c>
      <c r="F11" s="160"/>
      <c r="G11" s="161"/>
      <c r="H11" s="161"/>
      <c r="I11" s="162"/>
      <c r="J11" s="41"/>
      <c r="K11" s="41"/>
      <c r="L11" s="41"/>
      <c r="M11" s="41"/>
      <c r="N11" s="41"/>
      <c r="O11" s="41"/>
      <c r="P11" s="41"/>
      <c r="Q11" s="41"/>
      <c r="R11" s="41"/>
      <c r="S11" s="41"/>
      <c r="T11" s="41"/>
      <c r="U11" s="41"/>
      <c r="V11" s="41"/>
      <c r="W11" s="41"/>
      <c r="X11" s="41"/>
      <c r="Y11" s="41"/>
    </row>
    <row r="12" spans="2:25" ht="22" customHeight="1" x14ac:dyDescent="0.35">
      <c r="B12" s="28"/>
      <c r="C12" s="28"/>
      <c r="D12" s="37" t="str">
        <f>IFERROR((VLOOKUP(B12,'Look Ups'!$BH$7:$BI$17,2,FALSE)*'9. Meters For Flats'!C12),"")</f>
        <v/>
      </c>
      <c r="F12" s="160"/>
      <c r="G12" s="161"/>
      <c r="H12" s="161"/>
      <c r="I12" s="162"/>
      <c r="J12" s="41"/>
      <c r="K12" s="41"/>
      <c r="L12" s="41"/>
      <c r="M12" s="41"/>
      <c r="N12" s="41"/>
      <c r="O12" s="41"/>
      <c r="P12" s="41"/>
      <c r="Q12" s="41"/>
      <c r="R12" s="41"/>
      <c r="S12" s="41"/>
      <c r="T12" s="41"/>
      <c r="U12" s="41"/>
      <c r="V12" s="41"/>
      <c r="W12" s="41"/>
      <c r="X12" s="41"/>
      <c r="Y12" s="41"/>
    </row>
    <row r="13" spans="2:25" ht="22" customHeight="1" x14ac:dyDescent="0.35">
      <c r="B13" s="28"/>
      <c r="C13" s="28"/>
      <c r="D13" s="37" t="str">
        <f>IFERROR((VLOOKUP(B13,'Look Ups'!$BH$7:$BI$17,2,FALSE)*'9. Meters For Flats'!C13),"")</f>
        <v/>
      </c>
      <c r="F13" s="160"/>
      <c r="G13" s="161"/>
      <c r="H13" s="161"/>
      <c r="I13" s="162"/>
      <c r="J13" s="41"/>
      <c r="K13" s="41"/>
      <c r="L13" s="41"/>
      <c r="M13" s="41"/>
      <c r="N13" s="41"/>
      <c r="O13" s="41"/>
      <c r="P13" s="41"/>
      <c r="Q13" s="41"/>
      <c r="R13" s="41"/>
      <c r="S13" s="41"/>
      <c r="T13" s="41"/>
      <c r="U13" s="41"/>
      <c r="V13" s="41"/>
      <c r="W13" s="41"/>
      <c r="X13" s="41"/>
      <c r="Y13" s="41"/>
    </row>
    <row r="14" spans="2:25" ht="22" customHeight="1" x14ac:dyDescent="0.35">
      <c r="B14" s="28"/>
      <c r="C14" s="28"/>
      <c r="D14" s="37" t="str">
        <f>IFERROR((VLOOKUP(B14,'Look Ups'!$BH$7:$BI$17,2,FALSE)*'9. Meters For Flats'!C14),"")</f>
        <v/>
      </c>
      <c r="F14" s="160"/>
      <c r="G14" s="161"/>
      <c r="H14" s="161"/>
      <c r="I14" s="162"/>
      <c r="J14" s="41"/>
      <c r="K14" s="41"/>
      <c r="L14" s="41"/>
      <c r="M14" s="41"/>
      <c r="N14" s="41"/>
      <c r="O14" s="41"/>
      <c r="P14" s="41"/>
      <c r="Q14" s="41"/>
      <c r="R14" s="41"/>
      <c r="S14" s="41"/>
      <c r="T14" s="41"/>
      <c r="U14" s="41"/>
      <c r="V14" s="41"/>
      <c r="W14" s="41"/>
      <c r="X14" s="41"/>
      <c r="Y14" s="41"/>
    </row>
    <row r="15" spans="2:25" ht="22" customHeight="1" x14ac:dyDescent="0.35">
      <c r="B15" s="28"/>
      <c r="C15" s="28"/>
      <c r="D15" s="37" t="str">
        <f>IFERROR((VLOOKUP(B15,'Look Ups'!$BH$7:$BI$17,2,FALSE)*'9. Meters For Flats'!C15),"")</f>
        <v/>
      </c>
      <c r="F15" s="160"/>
      <c r="G15" s="161"/>
      <c r="H15" s="161"/>
      <c r="I15" s="162"/>
      <c r="J15" s="41"/>
      <c r="K15" s="41"/>
      <c r="L15" s="41"/>
      <c r="M15" s="41"/>
      <c r="N15" s="41"/>
      <c r="O15" s="41"/>
      <c r="P15" s="41"/>
      <c r="Q15" s="41"/>
      <c r="R15" s="41"/>
      <c r="S15" s="41"/>
      <c r="T15" s="41"/>
      <c r="U15" s="41"/>
      <c r="V15" s="41"/>
      <c r="W15" s="41"/>
      <c r="X15" s="41"/>
      <c r="Y15" s="41"/>
    </row>
    <row r="16" spans="2:25" ht="22" customHeight="1" x14ac:dyDescent="0.35">
      <c r="B16" s="28"/>
      <c r="C16" s="28"/>
      <c r="D16" s="37" t="str">
        <f>IFERROR((VLOOKUP(B16,'Look Ups'!$BH$7:$BI$17,2,FALSE)*'9. Meters For Flats'!C16),"")</f>
        <v/>
      </c>
      <c r="F16" s="160"/>
      <c r="G16" s="161"/>
      <c r="H16" s="161"/>
      <c r="I16" s="162"/>
      <c r="J16" s="41"/>
      <c r="K16" s="41"/>
      <c r="L16" s="41"/>
      <c r="M16" s="41"/>
      <c r="N16" s="41"/>
      <c r="O16" s="41"/>
      <c r="P16" s="41"/>
      <c r="Q16" s="41"/>
      <c r="R16" s="41"/>
      <c r="S16" s="41"/>
      <c r="T16" s="41"/>
      <c r="U16" s="41"/>
      <c r="V16" s="41"/>
      <c r="W16" s="41"/>
      <c r="X16" s="41"/>
      <c r="Y16" s="41"/>
    </row>
    <row r="17" spans="2:25" ht="22" customHeight="1" x14ac:dyDescent="0.35">
      <c r="B17" s="28"/>
      <c r="C17" s="28"/>
      <c r="D17" s="37" t="str">
        <f>IFERROR((VLOOKUP(B17,'Look Ups'!$BH$7:$BI$17,2,FALSE)*'9. Meters For Flats'!C17),"")</f>
        <v/>
      </c>
      <c r="F17" s="160"/>
      <c r="G17" s="161"/>
      <c r="H17" s="161"/>
      <c r="I17" s="162"/>
      <c r="J17" s="41"/>
      <c r="K17" s="41"/>
      <c r="L17" s="41"/>
      <c r="M17" s="41"/>
      <c r="N17" s="41"/>
      <c r="O17" s="41"/>
      <c r="P17" s="41"/>
      <c r="Q17" s="41"/>
      <c r="R17" s="41"/>
      <c r="S17" s="41"/>
      <c r="T17" s="41"/>
      <c r="U17" s="41"/>
      <c r="V17" s="41"/>
      <c r="W17" s="41"/>
      <c r="X17" s="41"/>
      <c r="Y17" s="41"/>
    </row>
    <row r="18" spans="2:25" ht="22" customHeight="1" x14ac:dyDescent="0.35">
      <c r="B18" s="28"/>
      <c r="C18" s="28"/>
      <c r="D18" s="37" t="str">
        <f>IFERROR((VLOOKUP(B18,'Look Ups'!$BH$7:$BI$17,2,FALSE)*'9. Meters For Flats'!C18),"")</f>
        <v/>
      </c>
      <c r="F18" s="160"/>
      <c r="G18" s="161"/>
      <c r="H18" s="161"/>
      <c r="I18" s="162"/>
      <c r="J18" s="41"/>
      <c r="K18" s="41"/>
      <c r="L18" s="41"/>
      <c r="M18" s="41"/>
      <c r="N18" s="41"/>
      <c r="O18" s="41"/>
      <c r="P18" s="41"/>
      <c r="Q18" s="41"/>
      <c r="R18" s="41"/>
      <c r="S18" s="41"/>
      <c r="T18" s="41"/>
      <c r="U18" s="41"/>
      <c r="V18" s="41"/>
      <c r="W18" s="41"/>
      <c r="X18" s="41"/>
      <c r="Y18" s="41"/>
    </row>
    <row r="19" spans="2:25" ht="22" customHeight="1" x14ac:dyDescent="0.35">
      <c r="B19" s="28"/>
      <c r="C19" s="28"/>
      <c r="D19" s="37" t="str">
        <f>IFERROR((VLOOKUP(B19,'Look Ups'!$BH$7:$BI$17,2,FALSE)*'9. Meters For Flats'!C19),"")</f>
        <v/>
      </c>
      <c r="F19" s="160"/>
      <c r="G19" s="161"/>
      <c r="H19" s="161"/>
      <c r="I19" s="162"/>
      <c r="J19" s="41"/>
      <c r="K19" s="41"/>
      <c r="L19" s="41"/>
      <c r="M19" s="41"/>
      <c r="N19" s="41"/>
      <c r="O19" s="41"/>
      <c r="P19" s="41"/>
      <c r="Q19" s="41"/>
      <c r="R19" s="41"/>
      <c r="S19" s="41"/>
      <c r="T19" s="41"/>
      <c r="U19" s="41"/>
      <c r="V19" s="41"/>
      <c r="W19" s="41"/>
      <c r="X19" s="41"/>
      <c r="Y19" s="41"/>
    </row>
    <row r="20" spans="2:25" ht="22" customHeight="1" x14ac:dyDescent="0.35">
      <c r="B20" s="28"/>
      <c r="C20" s="28"/>
      <c r="D20" s="37" t="str">
        <f>IFERROR((VLOOKUP(B20,'Look Ups'!$BH$7:$BI$17,2,FALSE)*'9. Meters For Flats'!C20),"")</f>
        <v/>
      </c>
      <c r="F20" s="160"/>
      <c r="G20" s="161"/>
      <c r="H20" s="161"/>
      <c r="I20" s="162"/>
      <c r="J20" s="41"/>
      <c r="K20" s="41"/>
      <c r="L20" s="41"/>
      <c r="M20" s="41"/>
      <c r="N20" s="41"/>
      <c r="O20" s="41"/>
      <c r="P20" s="41"/>
      <c r="Q20" s="41"/>
      <c r="R20" s="41"/>
      <c r="S20" s="41"/>
      <c r="T20" s="41"/>
      <c r="U20" s="41"/>
      <c r="V20" s="41"/>
      <c r="W20" s="41"/>
      <c r="X20" s="41"/>
      <c r="Y20" s="41"/>
    </row>
    <row r="21" spans="2:25" ht="22" customHeight="1" x14ac:dyDescent="0.35">
      <c r="B21" s="28"/>
      <c r="C21" s="28"/>
      <c r="D21" s="37" t="str">
        <f>IFERROR((VLOOKUP(B21,'Look Ups'!$BH$7:$BI$17,2,FALSE)*'9. Meters For Flats'!C21),"")</f>
        <v/>
      </c>
      <c r="F21" s="160"/>
      <c r="G21" s="161"/>
      <c r="H21" s="161"/>
      <c r="I21" s="162"/>
      <c r="J21" s="41"/>
      <c r="K21" s="41"/>
      <c r="L21" s="41"/>
      <c r="M21" s="41"/>
      <c r="N21" s="41"/>
      <c r="O21" s="41"/>
      <c r="P21" s="41"/>
      <c r="Q21" s="41"/>
      <c r="R21" s="41"/>
      <c r="S21" s="41"/>
      <c r="T21" s="41"/>
      <c r="U21" s="41"/>
      <c r="V21" s="41"/>
      <c r="W21" s="41"/>
      <c r="X21" s="41"/>
      <c r="Y21" s="41"/>
    </row>
    <row r="22" spans="2:25" ht="22" customHeight="1" thickBot="1" x14ac:dyDescent="0.4">
      <c r="B22" s="28"/>
      <c r="C22" s="28"/>
      <c r="D22" s="37" t="str">
        <f>IFERROR((VLOOKUP(B22,'Look Ups'!$BH$7:$BI$17,2,FALSE)*'9. Meters For Flats'!C22),"")</f>
        <v/>
      </c>
      <c r="F22" s="163"/>
      <c r="G22" s="164"/>
      <c r="H22" s="164"/>
      <c r="I22" s="165"/>
      <c r="J22" s="41"/>
      <c r="K22" s="41"/>
      <c r="L22" s="41"/>
      <c r="M22" s="41"/>
      <c r="N22" s="41"/>
      <c r="O22" s="41"/>
      <c r="P22" s="41"/>
      <c r="Q22" s="41"/>
      <c r="R22" s="41"/>
      <c r="S22" s="41"/>
      <c r="T22" s="41"/>
      <c r="U22" s="41"/>
      <c r="V22" s="41"/>
      <c r="W22" s="41"/>
      <c r="X22" s="41"/>
      <c r="Y22" s="41"/>
    </row>
    <row r="23" spans="2:25" ht="22" thickTop="1" x14ac:dyDescent="0.35"/>
  </sheetData>
  <sheetProtection algorithmName="SHA-512" hashValue="TwekTJMGa+znumrryQ1wNxpg9BjLf/41kI9W9vg83klwEHb6fLBksdWnJLTSt+KM+sVAg0MkbNIgN6dwKQywKg==" saltValue="LeujFMonnReVMPIVi13k4w==" spinCount="100000" sheet="1" objects="1" scenarios="1"/>
  <mergeCells count="2">
    <mergeCell ref="C2:D2"/>
    <mergeCell ref="F4:I22"/>
  </mergeCells>
  <conditionalFormatting sqref="D5:D22">
    <cfRule type="expression" dxfId="11" priority="1">
      <formula>$C$2="Please confirm your acceptance of the Terms of Use"</formula>
    </cfRule>
    <cfRule type="expression" dxfId="10" priority="2">
      <formula>$C$2="Please refer to Front Page"</formula>
    </cfRule>
  </conditionalFormatting>
  <dataValidations count="1">
    <dataValidation type="whole" allowBlank="1" showInputMessage="1" showErrorMessage="1" sqref="C5:C22" xr:uid="{9A40880C-069F-42E6-9EFE-33A3CCBB782B}">
      <formula1>0</formula1>
      <formula2>10000000000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ADDB18-0DC8-4F1E-853A-5F1D254B77E6}">
          <x14:formula1>
            <xm:f>Lists!$P$1:$P$2</xm:f>
          </x14:formula1>
          <xm:sqref>B5:B22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C2E6-6861-4E99-801A-65BD8D9D36F2}">
  <sheetPr codeName="Sheet13"/>
  <dimension ref="A1:Q21"/>
  <sheetViews>
    <sheetView workbookViewId="0">
      <selection activeCell="B2" sqref="B2"/>
    </sheetView>
  </sheetViews>
  <sheetFormatPr defaultColWidth="8.7265625" defaultRowHeight="21.5" x14ac:dyDescent="0.9"/>
  <cols>
    <col min="1" max="1" width="60.81640625" style="4" bestFit="1" customWidth="1"/>
    <col min="2" max="2" width="20.1796875" style="4" customWidth="1"/>
    <col min="3" max="3" width="0" style="4" hidden="1" customWidth="1"/>
    <col min="4" max="14" width="8.7265625" style="4"/>
    <col min="15" max="15" width="50.54296875" style="4" customWidth="1"/>
    <col min="16" max="16" width="10.1796875" style="4" customWidth="1"/>
    <col min="17" max="16384" width="8.7265625" style="4"/>
  </cols>
  <sheetData>
    <row r="1" spans="1:17" x14ac:dyDescent="0.9">
      <c r="A1" s="2" t="s">
        <v>80</v>
      </c>
      <c r="B1" s="2" t="str">
        <f>IF(Lists!W6="LOCKED","Please refer to Front Page",(SUM(D3:D20))+(SUM(Q3:Q6)))</f>
        <v>Please refer to Front Page</v>
      </c>
      <c r="C1" s="2"/>
      <c r="D1" s="2"/>
    </row>
    <row r="2" spans="1:17" ht="27.65" customHeight="1" x14ac:dyDescent="0.9">
      <c r="A2" s="1" t="s">
        <v>131</v>
      </c>
      <c r="B2" s="1" t="s">
        <v>174</v>
      </c>
      <c r="C2" s="1" t="s">
        <v>152</v>
      </c>
      <c r="D2" s="1" t="s">
        <v>13</v>
      </c>
      <c r="F2" s="167" t="s">
        <v>186</v>
      </c>
      <c r="G2" s="167"/>
      <c r="H2" s="167"/>
      <c r="I2" s="167"/>
      <c r="J2" s="167"/>
      <c r="K2" s="167"/>
      <c r="L2" s="167"/>
      <c r="M2" s="167"/>
      <c r="O2" s="1" t="s">
        <v>131</v>
      </c>
      <c r="P2" s="1" t="s">
        <v>153</v>
      </c>
      <c r="Q2" s="1" t="s">
        <v>13</v>
      </c>
    </row>
    <row r="3" spans="1:17" ht="21.65" customHeight="1" x14ac:dyDescent="0.9">
      <c r="A3" s="3"/>
      <c r="B3" s="3"/>
      <c r="C3" s="1" t="str">
        <f>IFERROR(VLOOKUP(A3,'Look Ups'!$BL$7:$BM$18,2,FALSE),"")</f>
        <v/>
      </c>
      <c r="D3" s="1" t="str">
        <f>IF(A3="","",IF(B3="","",IF(C3="Y",IF('10. Traffic Management'!B3&gt;5,((VLOOKUP(A3,'Look Ups'!$BL$7:$BN$14,3,FALSE))+((VLOOKUP('10. Traffic Management'!A3,'Look Ups'!$BL$7:$BO$14,4,FALSE))*('10. Traffic Management'!B3-5))),(VLOOKUP(A3,'Look Ups'!$BL$7:$BN$14,3,FALSE))),(VLOOKUP('10. Traffic Management'!A3,'Look Ups'!$BL$15:$BO$18,4,FALSE))*'10. Traffic Management'!B3)))</f>
        <v/>
      </c>
      <c r="F3" s="167"/>
      <c r="G3" s="167"/>
      <c r="H3" s="167"/>
      <c r="I3" s="167"/>
      <c r="J3" s="167"/>
      <c r="K3" s="167"/>
      <c r="L3" s="167"/>
      <c r="M3" s="167"/>
      <c r="O3" s="1" t="s">
        <v>145</v>
      </c>
      <c r="P3" s="3"/>
      <c r="Q3" s="1">
        <f>P3*62</f>
        <v>0</v>
      </c>
    </row>
    <row r="4" spans="1:17" ht="21.65" customHeight="1" x14ac:dyDescent="0.9">
      <c r="A4" s="3"/>
      <c r="B4" s="3"/>
      <c r="C4" s="1" t="str">
        <f>IFERROR(VLOOKUP(A4,'Look Ups'!$BL$7:$BM$18,2,FALSE),"")</f>
        <v/>
      </c>
      <c r="D4" s="1" t="str">
        <f>IF(A4="","",IF(B4="","",IF(C4="Y",IF('10. Traffic Management'!B4&gt;5,((VLOOKUP(A4,'Look Ups'!$BL$7:$BN$14,3,FALSE))+((VLOOKUP('10. Traffic Management'!A4,'Look Ups'!$BL$7:$BO$14,4,FALSE))*('10. Traffic Management'!B4-5))),(VLOOKUP(A4,'Look Ups'!$BL$7:$BN$14,3,FALSE))),(VLOOKUP('10. Traffic Management'!A4,'Look Ups'!$BL$15:$BO$18,4,FALSE))*'10. Traffic Management'!B4)))</f>
        <v/>
      </c>
      <c r="F4" s="167"/>
      <c r="G4" s="167"/>
      <c r="H4" s="167"/>
      <c r="I4" s="167"/>
      <c r="J4" s="167"/>
      <c r="K4" s="167"/>
      <c r="L4" s="167"/>
      <c r="M4" s="167"/>
      <c r="O4" s="1" t="s">
        <v>140</v>
      </c>
      <c r="P4" s="3"/>
      <c r="Q4" s="1">
        <f>P4*450</f>
        <v>0</v>
      </c>
    </row>
    <row r="5" spans="1:17" ht="21.65" customHeight="1" x14ac:dyDescent="0.9">
      <c r="A5" s="3"/>
      <c r="B5" s="3"/>
      <c r="C5" s="1" t="str">
        <f>IFERROR(VLOOKUP(A5,'Look Ups'!$BL$7:$BM$18,2,FALSE),"")</f>
        <v/>
      </c>
      <c r="D5" s="1"/>
      <c r="F5" s="167"/>
      <c r="G5" s="167"/>
      <c r="H5" s="167"/>
      <c r="I5" s="167"/>
      <c r="J5" s="167"/>
      <c r="K5" s="167"/>
      <c r="L5" s="167"/>
      <c r="M5" s="167"/>
      <c r="O5" s="1" t="s">
        <v>146</v>
      </c>
      <c r="P5" s="3"/>
      <c r="Q5" s="1">
        <f>P5*371</f>
        <v>0</v>
      </c>
    </row>
    <row r="6" spans="1:17" ht="21.65" customHeight="1" x14ac:dyDescent="0.9">
      <c r="A6" s="3"/>
      <c r="B6" s="3"/>
      <c r="C6" s="1" t="str">
        <f>IFERROR(VLOOKUP(A6,'Look Ups'!$BL$7:$BM$18,2,FALSE),"")</f>
        <v/>
      </c>
      <c r="D6" s="1" t="str">
        <f>IF(A6="","",IF(B6="","",IF(C6="Y",IF('10. Traffic Management'!B6&gt;5,((VLOOKUP(A6,'Look Ups'!$BL$7:$BN$14,3,FALSE))+((VLOOKUP('10. Traffic Management'!A6,'Look Ups'!$BL$7:$BO$14,4,FALSE))*('10. Traffic Management'!B6-5))),(VLOOKUP(A6,'Look Ups'!$BL$7:$BN$14,3,FALSE))),(VLOOKUP('10. Traffic Management'!A6,'Look Ups'!$BL$15:$BO$18,4,FALSE))*'10. Traffic Management'!B6)))</f>
        <v/>
      </c>
      <c r="F6" s="167"/>
      <c r="G6" s="167"/>
      <c r="H6" s="167"/>
      <c r="I6" s="167"/>
      <c r="J6" s="167"/>
      <c r="K6" s="167"/>
      <c r="L6" s="167"/>
      <c r="M6" s="167"/>
      <c r="O6" s="1" t="s">
        <v>154</v>
      </c>
      <c r="P6" s="3"/>
      <c r="Q6" s="1">
        <f>P6*62</f>
        <v>0</v>
      </c>
    </row>
    <row r="7" spans="1:17" ht="21.65" customHeight="1" x14ac:dyDescent="0.9">
      <c r="A7" s="3"/>
      <c r="B7" s="3"/>
      <c r="C7" s="1" t="str">
        <f>IFERROR(VLOOKUP(A7,'Look Ups'!$BL$7:$BM$18,2,FALSE),"")</f>
        <v/>
      </c>
      <c r="D7" s="1" t="str">
        <f>IF(A7="","",IF(B7="","",IF(C7="Y",IF('10. Traffic Management'!B7&gt;5,((VLOOKUP(A7,'Look Ups'!$BL$7:$BN$14,3,FALSE))+((VLOOKUP('10. Traffic Management'!A7,'Look Ups'!$BL$7:$BO$14,4,FALSE))*('10. Traffic Management'!B7-5))),(VLOOKUP(A7,'Look Ups'!$BL$7:$BN$14,3,FALSE))),(VLOOKUP('10. Traffic Management'!A7,'Look Ups'!$BL$15:$BO$18,4,FALSE))*'10. Traffic Management'!B7)))</f>
        <v/>
      </c>
      <c r="F7" s="167"/>
      <c r="G7" s="167"/>
      <c r="H7" s="167"/>
      <c r="I7" s="167"/>
      <c r="J7" s="167"/>
      <c r="K7" s="167"/>
      <c r="L7" s="167"/>
      <c r="M7" s="167"/>
    </row>
    <row r="8" spans="1:17" ht="21.65" customHeight="1" x14ac:dyDescent="0.9">
      <c r="A8" s="3"/>
      <c r="B8" s="3"/>
      <c r="C8" s="1" t="str">
        <f>IFERROR(VLOOKUP(A8,'Look Ups'!$BL$7:$BM$18,2,FALSE),"")</f>
        <v/>
      </c>
      <c r="D8" s="1" t="str">
        <f>IF(A8="","",IF(B8="","",IF(C8="Y",IF('10. Traffic Management'!B8&gt;5,((VLOOKUP(A8,'Look Ups'!$BL$7:$BN$14,3,FALSE))+((VLOOKUP('10. Traffic Management'!A8,'Look Ups'!$BL$7:$BO$14,4,FALSE))*('10. Traffic Management'!B8-5))),(VLOOKUP(A8,'Look Ups'!$BL$7:$BN$14,3,FALSE))),(VLOOKUP('10. Traffic Management'!A8,'Look Ups'!$BL$15:$BO$18,4,FALSE))*'10. Traffic Management'!B8)))</f>
        <v/>
      </c>
      <c r="F8" s="167"/>
      <c r="G8" s="167"/>
      <c r="H8" s="167"/>
      <c r="I8" s="167"/>
      <c r="J8" s="167"/>
      <c r="K8" s="167"/>
      <c r="L8" s="167"/>
      <c r="M8" s="167"/>
    </row>
    <row r="9" spans="1:17" ht="21.65" customHeight="1" x14ac:dyDescent="0.9">
      <c r="A9" s="3"/>
      <c r="B9" s="3"/>
      <c r="C9" s="1" t="str">
        <f>IFERROR(VLOOKUP(A9,'Look Ups'!$BL$7:$BM$18,2,FALSE),"")</f>
        <v/>
      </c>
      <c r="D9" s="1" t="str">
        <f>IF(A9="","",IF(B9="","",IF(C9="Y",IF('10. Traffic Management'!B9&gt;5,((VLOOKUP(A9,'Look Ups'!$BL$7:$BN$14,3,FALSE))+((VLOOKUP('10. Traffic Management'!A9,'Look Ups'!$BL$7:$BO$14,4,FALSE))*('10. Traffic Management'!B9-5))),(VLOOKUP(A9,'Look Ups'!$BL$7:$BN$14,3,FALSE))),(VLOOKUP('10. Traffic Management'!A9,'Look Ups'!$BL$15:$BO$18,4,FALSE))*'10. Traffic Management'!B9)))</f>
        <v/>
      </c>
      <c r="F9" s="167"/>
      <c r="G9" s="167"/>
      <c r="H9" s="167"/>
      <c r="I9" s="167"/>
      <c r="J9" s="167"/>
      <c r="K9" s="167"/>
      <c r="L9" s="167"/>
      <c r="M9" s="167"/>
    </row>
    <row r="10" spans="1:17" ht="21.65" customHeight="1" x14ac:dyDescent="0.9">
      <c r="A10" s="3"/>
      <c r="B10" s="3"/>
      <c r="C10" s="1" t="str">
        <f>IFERROR(VLOOKUP(A10,'Look Ups'!$BL$7:$BM$18,2,FALSE),"")</f>
        <v/>
      </c>
      <c r="D10" s="1" t="str">
        <f>IF(A10="","",IF(B10="","",IF(C10="Y",IF('10. Traffic Management'!B10&gt;5,((VLOOKUP(A10,'Look Ups'!$BL$7:$BN$14,3,FALSE))+((VLOOKUP('10. Traffic Management'!A10,'Look Ups'!$BL$7:$BO$14,4,FALSE))*('10. Traffic Management'!B10-5))),(VLOOKUP(A10,'Look Ups'!$BL$7:$BN$14,3,FALSE))),(VLOOKUP('10. Traffic Management'!A10,'Look Ups'!$BL$15:$BO$18,4,FALSE))*'10. Traffic Management'!B10)))</f>
        <v/>
      </c>
      <c r="F10" s="167"/>
      <c r="G10" s="167"/>
      <c r="H10" s="167"/>
      <c r="I10" s="167"/>
      <c r="J10" s="167"/>
      <c r="K10" s="167"/>
      <c r="L10" s="167"/>
      <c r="M10" s="167"/>
    </row>
    <row r="11" spans="1:17" ht="21.65" customHeight="1" x14ac:dyDescent="0.9">
      <c r="A11" s="3"/>
      <c r="B11" s="3"/>
      <c r="C11" s="1" t="str">
        <f>IFERROR(VLOOKUP(A11,'Look Ups'!$BL$7:$BM$18,2,FALSE),"")</f>
        <v/>
      </c>
      <c r="D11" s="1" t="str">
        <f>IF(A11="","",IF(B11="","",IF(C11="Y",IF('10. Traffic Management'!B11&gt;5,((VLOOKUP(A11,'Look Ups'!$BL$7:$BN$14,3,FALSE))+((VLOOKUP('10. Traffic Management'!A11,'Look Ups'!$BL$7:$BO$14,4,FALSE))*('10. Traffic Management'!B11-5))),(VLOOKUP(A11,'Look Ups'!$BL$7:$BN$14,3,FALSE))),(VLOOKUP('10. Traffic Management'!A11,'Look Ups'!$BL$15:$BO$18,4,FALSE))*'10. Traffic Management'!B11)))</f>
        <v/>
      </c>
      <c r="F11" s="167"/>
      <c r="G11" s="167"/>
      <c r="H11" s="167"/>
      <c r="I11" s="167"/>
      <c r="J11" s="167"/>
      <c r="K11" s="167"/>
      <c r="L11" s="167"/>
      <c r="M11" s="167"/>
    </row>
    <row r="12" spans="1:17" ht="21.65" customHeight="1" x14ac:dyDescent="0.9">
      <c r="A12" s="3"/>
      <c r="B12" s="3"/>
      <c r="C12" s="1" t="str">
        <f>IFERROR(VLOOKUP(A12,'Look Ups'!$BL$7:$BM$18,2,FALSE),"")</f>
        <v/>
      </c>
      <c r="D12" s="1" t="str">
        <f>IF(A12="","",IF(B12="","",IF(C12="Y",IF('10. Traffic Management'!B12&gt;5,((VLOOKUP(A12,'Look Ups'!$BL$7:$BN$14,3,FALSE))+((VLOOKUP('10. Traffic Management'!A12,'Look Ups'!$BL$7:$BO$14,4,FALSE))*('10. Traffic Management'!B12-5))),(VLOOKUP(A12,'Look Ups'!$BL$7:$BN$14,3,FALSE))),(VLOOKUP('10. Traffic Management'!A12,'Look Ups'!$BL$15:$BO$18,4,FALSE))*'10. Traffic Management'!B12)))</f>
        <v/>
      </c>
      <c r="F12" s="167"/>
      <c r="G12" s="167"/>
      <c r="H12" s="167"/>
      <c r="I12" s="167"/>
      <c r="J12" s="167"/>
      <c r="K12" s="167"/>
      <c r="L12" s="167"/>
      <c r="M12" s="167"/>
    </row>
    <row r="13" spans="1:17" ht="21.65" customHeight="1" x14ac:dyDescent="0.9">
      <c r="A13" s="3"/>
      <c r="B13" s="3"/>
      <c r="C13" s="1" t="str">
        <f>IFERROR(VLOOKUP(A13,'Look Ups'!$BL$7:$BM$18,2,FALSE),"")</f>
        <v/>
      </c>
      <c r="D13" s="1" t="str">
        <f>IF(A13="","",IF(B13="","",IF(C13="Y",IF('10. Traffic Management'!B13&gt;5,((VLOOKUP(A13,'Look Ups'!$BL$7:$BN$14,3,FALSE))+((VLOOKUP('10. Traffic Management'!A13,'Look Ups'!$BL$7:$BO$14,4,FALSE))*('10. Traffic Management'!B13-5))),(VLOOKUP(A13,'Look Ups'!$BL$7:$BN$14,3,FALSE))),(VLOOKUP('10. Traffic Management'!A13,'Look Ups'!$BL$15:$BO$18,4,FALSE))*'10. Traffic Management'!B13)))</f>
        <v/>
      </c>
      <c r="F13" s="167"/>
      <c r="G13" s="167"/>
      <c r="H13" s="167"/>
      <c r="I13" s="167"/>
      <c r="J13" s="167"/>
      <c r="K13" s="167"/>
      <c r="L13" s="167"/>
      <c r="M13" s="167"/>
    </row>
    <row r="14" spans="1:17" ht="21.65" customHeight="1" x14ac:dyDescent="0.9">
      <c r="A14" s="3"/>
      <c r="B14" s="3"/>
      <c r="C14" s="1" t="str">
        <f>IFERROR(VLOOKUP(A14,'Look Ups'!$BL$7:$BM$18,2,FALSE),"")</f>
        <v/>
      </c>
      <c r="D14" s="1" t="str">
        <f>IF(A14="","",IF(B14="","",IF(C14="Y",IF('10. Traffic Management'!B14&gt;5,((VLOOKUP(A14,'Look Ups'!$BL$7:$BN$14,3,FALSE))+((VLOOKUP('10. Traffic Management'!A14,'Look Ups'!$BL$7:$BO$14,4,FALSE))*('10. Traffic Management'!B14-5))),(VLOOKUP(A14,'Look Ups'!$BL$7:$BN$14,3,FALSE))),(VLOOKUP('10. Traffic Management'!A14,'Look Ups'!$BL$15:$BO$18,4,FALSE))*'10. Traffic Management'!B14)))</f>
        <v/>
      </c>
      <c r="F14" s="167"/>
      <c r="G14" s="167"/>
      <c r="H14" s="167"/>
      <c r="I14" s="167"/>
      <c r="J14" s="167"/>
      <c r="K14" s="167"/>
      <c r="L14" s="167"/>
      <c r="M14" s="167"/>
    </row>
    <row r="15" spans="1:17" ht="21.65" customHeight="1" x14ac:dyDescent="1.1499999999999999">
      <c r="A15" s="3"/>
      <c r="B15" s="3"/>
      <c r="C15" s="1" t="str">
        <f>IFERROR(VLOOKUP(A15,'Look Ups'!$BL$7:$BM$18,2,FALSE),"")</f>
        <v/>
      </c>
      <c r="D15" s="1" t="str">
        <f>IF(A15="","",IF(B15="","",IF(C15="Y",IF('10. Traffic Management'!B15&gt;5,((VLOOKUP(A15,'Look Ups'!$BL$7:$BN$14,3,FALSE))+((VLOOKUP('10. Traffic Management'!A15,'Look Ups'!$BL$7:$BO$14,4,FALSE))*('10. Traffic Management'!B15-5))),(VLOOKUP(A15,'Look Ups'!$BL$7:$BN$14,3,FALSE))),(VLOOKUP('10. Traffic Management'!A15,'Look Ups'!$BL$15:$BO$18,4,FALSE))*'10. Traffic Management'!B15)))</f>
        <v/>
      </c>
      <c r="F15" s="7"/>
      <c r="G15" s="7"/>
      <c r="H15" s="7"/>
      <c r="I15" s="7"/>
      <c r="J15" s="7"/>
      <c r="K15" s="7"/>
      <c r="L15" s="7"/>
      <c r="M15" s="7"/>
    </row>
    <row r="16" spans="1:17" ht="21.65" customHeight="1" x14ac:dyDescent="1.1499999999999999">
      <c r="A16" s="3"/>
      <c r="B16" s="3"/>
      <c r="C16" s="1" t="str">
        <f>IFERROR(VLOOKUP(A16,'Look Ups'!$BL$7:$BM$18,2,FALSE),"")</f>
        <v/>
      </c>
      <c r="D16" s="1" t="str">
        <f>IF(A16="","",IF(B16="","",IF(C16="Y",IF('10. Traffic Management'!B16&gt;5,((VLOOKUP(A16,'Look Ups'!$BL$7:$BN$14,3,FALSE))+((VLOOKUP('10. Traffic Management'!A16,'Look Ups'!$BL$7:$BO$14,4,FALSE))*('10. Traffic Management'!B16-5))),(VLOOKUP(A16,'Look Ups'!$BL$7:$BN$14,3,FALSE))),(VLOOKUP('10. Traffic Management'!A16,'Look Ups'!$BL$15:$BO$18,4,FALSE))*'10. Traffic Management'!B16)))</f>
        <v/>
      </c>
      <c r="F16" s="7"/>
      <c r="G16" s="7"/>
      <c r="H16" s="7"/>
      <c r="I16" s="7"/>
      <c r="J16" s="7"/>
      <c r="K16" s="7"/>
      <c r="L16" s="7"/>
      <c r="M16" s="7"/>
    </row>
    <row r="17" spans="1:13" ht="21.65" customHeight="1" x14ac:dyDescent="1.1499999999999999">
      <c r="A17" s="3"/>
      <c r="B17" s="3"/>
      <c r="C17" s="1" t="str">
        <f>IFERROR(VLOOKUP(A17,'Look Ups'!$BL$7:$BM$18,2,FALSE),"")</f>
        <v/>
      </c>
      <c r="D17" s="1" t="str">
        <f>IF(A17="","",IF(B17="","",IF(C17="Y",IF('10. Traffic Management'!B17&gt;5,((VLOOKUP(A17,'Look Ups'!$BL$7:$BN$14,3,FALSE))+((VLOOKUP('10. Traffic Management'!A17,'Look Ups'!$BL$7:$BO$14,4,FALSE))*('10. Traffic Management'!B17-5))),(VLOOKUP(A17,'Look Ups'!$BL$7:$BN$14,3,FALSE))),(VLOOKUP('10. Traffic Management'!A17,'Look Ups'!$BL$15:$BO$18,4,FALSE))*'10. Traffic Management'!B17)))</f>
        <v/>
      </c>
      <c r="F17" s="7"/>
      <c r="G17" s="7"/>
      <c r="H17" s="7"/>
      <c r="I17" s="7"/>
      <c r="J17" s="7"/>
      <c r="K17" s="7"/>
      <c r="L17" s="7"/>
      <c r="M17" s="7"/>
    </row>
    <row r="18" spans="1:13" x14ac:dyDescent="0.9">
      <c r="A18" s="3"/>
      <c r="B18" s="3"/>
      <c r="C18" s="1" t="str">
        <f>IFERROR(VLOOKUP(A18,'Look Ups'!$BL$7:$BM$18,2,FALSE),"")</f>
        <v/>
      </c>
      <c r="D18" s="1" t="str">
        <f>IF(A18="","",IF(B18="","",IF(C18="Y",IF('10. Traffic Management'!B18&gt;5,((VLOOKUP(A18,'Look Ups'!$BL$7:$BN$14,3,FALSE))+((VLOOKUP('10. Traffic Management'!A18,'Look Ups'!$BL$7:$BO$14,4,FALSE))*('10. Traffic Management'!B18-5))),(VLOOKUP(A18,'Look Ups'!$BL$7:$BN$14,3,FALSE))),(VLOOKUP('10. Traffic Management'!A18,'Look Ups'!$BL$15:$BO$18,4,FALSE))*'10. Traffic Management'!B18)))</f>
        <v/>
      </c>
      <c r="F18" s="5"/>
      <c r="G18" s="5"/>
      <c r="H18" s="5"/>
      <c r="I18" s="5"/>
      <c r="J18" s="5"/>
      <c r="K18" s="5"/>
      <c r="L18" s="5"/>
      <c r="M18" s="5"/>
    </row>
    <row r="19" spans="1:13" x14ac:dyDescent="0.9">
      <c r="A19" s="3"/>
      <c r="B19" s="3"/>
      <c r="C19" s="1" t="str">
        <f>IFERROR(VLOOKUP(A19,'Look Ups'!$BL$7:$BM$18,2,FALSE),"")</f>
        <v/>
      </c>
      <c r="D19" s="1" t="str">
        <f>IF(A19="","",IF(B19="","",IF(C19="Y",IF('10. Traffic Management'!B19&gt;5,((VLOOKUP(A19,'Look Ups'!$BL$7:$BN$14,3,FALSE))+((VLOOKUP('10. Traffic Management'!A19,'Look Ups'!$BL$7:$BO$14,4,FALSE))*('10. Traffic Management'!B19-5))),(VLOOKUP(A19,'Look Ups'!$BL$7:$BN$14,3,FALSE))),(VLOOKUP('10. Traffic Management'!A19,'Look Ups'!$BL$15:$BO$18,4,FALSE))*'10. Traffic Management'!B19)))</f>
        <v/>
      </c>
      <c r="F19" s="5"/>
      <c r="G19" s="5"/>
      <c r="H19" s="5"/>
      <c r="I19" s="5"/>
      <c r="J19" s="5"/>
      <c r="K19" s="5"/>
      <c r="L19" s="5"/>
      <c r="M19" s="5"/>
    </row>
    <row r="20" spans="1:13" x14ac:dyDescent="0.9">
      <c r="A20" s="3"/>
      <c r="B20" s="3"/>
      <c r="C20" s="1" t="str">
        <f>IFERROR(VLOOKUP(A20,'Look Ups'!$BL$7:$BM$18,2,FALSE),"")</f>
        <v/>
      </c>
      <c r="D20" s="1" t="str">
        <f>IF(A20="","",IF(B20="","",IF(C20="Y",IF('10. Traffic Management'!B20&gt;5,((VLOOKUP(A20,'Look Ups'!$BL$7:$BN$14,3,FALSE))+((VLOOKUP('10. Traffic Management'!A20,'Look Ups'!$BL$7:$BO$14,4,FALSE))*('10. Traffic Management'!B20-5))),(VLOOKUP(A20,'Look Ups'!$BL$7:$BN$14,3,FALSE))),(VLOOKUP('10. Traffic Management'!A20,'Look Ups'!$BL$15:$BO$18,4,FALSE))*'10. Traffic Management'!B20)))</f>
        <v/>
      </c>
      <c r="F20" s="5"/>
      <c r="G20" s="5"/>
      <c r="H20" s="5"/>
      <c r="I20" s="5"/>
      <c r="J20" s="5"/>
      <c r="K20" s="5"/>
      <c r="L20" s="5"/>
      <c r="M20" s="5"/>
    </row>
    <row r="21" spans="1:13" x14ac:dyDescent="0.9">
      <c r="F21" s="5"/>
      <c r="G21" s="5"/>
      <c r="H21" s="5"/>
      <c r="I21" s="5"/>
      <c r="J21" s="5"/>
      <c r="K21" s="5"/>
      <c r="L21" s="5"/>
      <c r="M21" s="5"/>
    </row>
  </sheetData>
  <mergeCells count="1">
    <mergeCell ref="F2:M14"/>
  </mergeCells>
  <conditionalFormatting sqref="D3:D20">
    <cfRule type="expression" dxfId="9" priority="2">
      <formula>$B$1="Please refer to Front Page"</formula>
    </cfRule>
  </conditionalFormatting>
  <conditionalFormatting sqref="Q3:Q6">
    <cfRule type="expression" dxfId="8" priority="1">
      <formula>$B$1="Please refer to front page"</formula>
    </cfRule>
  </conditionalFormatting>
  <dataValidations count="2">
    <dataValidation type="whole" allowBlank="1" showInputMessage="1" showErrorMessage="1" sqref="B3:B20" xr:uid="{1803EC9F-D29F-41FB-A102-8974FD459E53}">
      <formula1>0</formula1>
      <formula2>100000000</formula2>
    </dataValidation>
    <dataValidation type="whole" allowBlank="1" showInputMessage="1" showErrorMessage="1" sqref="P3:P6" xr:uid="{02486235-DD1C-499D-8CAD-7847C16C5E8E}">
      <formula1>0</formula1>
      <formula2>1000000000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1FA7B8-4196-48B1-87D5-76AD90A4F9F4}">
          <x14:formula1>
            <xm:f>Lists!$J$1:$J$12</xm:f>
          </x14:formula1>
          <xm:sqref>A3:A20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A66D-56D1-4939-8CDF-37BE39D820FA}">
  <sheetPr codeName="Sheet14">
    <tabColor theme="9" tint="0.39997558519241921"/>
  </sheetPr>
  <dimension ref="A1:AC23"/>
  <sheetViews>
    <sheetView showGridLines="0" showRowColHeaders="0" topLeftCell="B1" workbookViewId="0">
      <selection activeCell="E17" sqref="E17"/>
    </sheetView>
  </sheetViews>
  <sheetFormatPr defaultColWidth="0" defaultRowHeight="14.5" zeroHeight="1" x14ac:dyDescent="0.35"/>
  <cols>
    <col min="1" max="1" width="0" style="42" hidden="1" customWidth="1"/>
    <col min="2" max="2" width="3.453125" style="42" customWidth="1"/>
    <col min="3" max="3" width="21.7265625" style="42" customWidth="1"/>
    <col min="4" max="4" width="18.453125" style="42" customWidth="1"/>
    <col min="5" max="5" width="21.453125" style="42" customWidth="1"/>
    <col min="6" max="6" width="12.54296875" style="42" hidden="1" customWidth="1"/>
    <col min="7" max="7" width="15.81640625" style="42" hidden="1" customWidth="1"/>
    <col min="8" max="8" width="38.81640625" style="42" customWidth="1"/>
    <col min="9" max="9" width="3.453125" style="42" customWidth="1"/>
    <col min="10" max="12" width="8.7265625" style="42" customWidth="1"/>
    <col min="13" max="13" width="19.81640625" style="42" customWidth="1"/>
    <col min="14" max="14" width="8.7265625" style="42" customWidth="1"/>
    <col min="15" max="23" width="0" style="42" hidden="1" customWidth="1"/>
    <col min="24" max="24" width="8.7265625" style="42" customWidth="1"/>
    <col min="25" max="30" width="8.7265625" style="42" hidden="1" customWidth="1"/>
    <col min="31" max="16384" width="8.7265625" style="42" hidden="1"/>
  </cols>
  <sheetData>
    <row r="1" spans="3:29" ht="14.5" customHeight="1" x14ac:dyDescent="0.35"/>
    <row r="2" spans="3:29" ht="21.5" x14ac:dyDescent="0.35">
      <c r="C2" s="39" t="s">
        <v>80</v>
      </c>
      <c r="D2" s="166" t="str">
        <f>IF(Lists!W6="LOCKED","Please confirm your acceptance of the Terms of Use",SUM(H5:H22))</f>
        <v>Please confirm your acceptance of the Terms of Use</v>
      </c>
      <c r="E2" s="166"/>
      <c r="F2" s="166"/>
      <c r="G2" s="166"/>
      <c r="H2" s="166"/>
    </row>
    <row r="3" spans="3:29" ht="14.5" customHeight="1" thickBot="1" x14ac:dyDescent="0.4">
      <c r="C3" s="38"/>
      <c r="D3" s="40"/>
      <c r="E3" s="38"/>
      <c r="F3" s="38"/>
      <c r="G3" s="38"/>
      <c r="H3" s="38"/>
    </row>
    <row r="4" spans="3:29" ht="22" customHeight="1" x14ac:dyDescent="0.35">
      <c r="C4" s="35" t="s">
        <v>210</v>
      </c>
      <c r="D4" s="35" t="s">
        <v>212</v>
      </c>
      <c r="E4" s="35" t="s">
        <v>224</v>
      </c>
      <c r="F4" s="29" t="s">
        <v>7</v>
      </c>
      <c r="G4" s="29" t="s">
        <v>74</v>
      </c>
      <c r="H4" s="27" t="s">
        <v>77</v>
      </c>
      <c r="J4" s="132" t="s">
        <v>225</v>
      </c>
      <c r="K4" s="133"/>
      <c r="L4" s="133"/>
      <c r="M4" s="134"/>
      <c r="N4" s="41"/>
      <c r="O4" s="41"/>
      <c r="P4" s="41"/>
      <c r="Q4" s="41"/>
      <c r="R4" s="41"/>
      <c r="S4" s="41"/>
      <c r="T4" s="41"/>
      <c r="U4" s="41"/>
      <c r="V4" s="41"/>
      <c r="W4" s="41"/>
    </row>
    <row r="5" spans="3:29" ht="22" customHeight="1" x14ac:dyDescent="0.35">
      <c r="C5" s="36"/>
      <c r="D5" s="36"/>
      <c r="E5" s="36"/>
      <c r="F5" s="29" t="str">
        <f>C5&amp;D5</f>
        <v/>
      </c>
      <c r="G5" s="29" t="str">
        <f>IFERROR(VLOOKUP(F5,'Look Ups'!Y$11:Z$18,2,FALSE),"")</f>
        <v/>
      </c>
      <c r="H5" s="37" t="str">
        <f>IFERROR(G5*E5,"")</f>
        <v/>
      </c>
      <c r="J5" s="135"/>
      <c r="K5" s="136"/>
      <c r="L5" s="136"/>
      <c r="M5" s="137"/>
      <c r="N5" s="41"/>
      <c r="O5" s="41"/>
      <c r="P5" s="41"/>
      <c r="Q5" s="41"/>
      <c r="R5" s="41"/>
      <c r="S5" s="41"/>
      <c r="T5" s="41"/>
      <c r="U5" s="41"/>
      <c r="V5" s="41"/>
      <c r="W5" s="41"/>
    </row>
    <row r="6" spans="3:29" ht="22" customHeight="1" x14ac:dyDescent="0.35">
      <c r="C6" s="36"/>
      <c r="D6" s="36"/>
      <c r="E6" s="36"/>
      <c r="F6" s="29" t="str">
        <f t="shared" ref="F6:F22" si="0">C6&amp;D6</f>
        <v/>
      </c>
      <c r="G6" s="29" t="str">
        <f>IFERROR(VLOOKUP(F6,'Look Ups'!Y$11:Z$18,2,FALSE),"")</f>
        <v/>
      </c>
      <c r="H6" s="37" t="str">
        <f t="shared" ref="H6:H22" si="1">IFERROR(G6*E6,"")</f>
        <v/>
      </c>
      <c r="J6" s="135"/>
      <c r="K6" s="136"/>
      <c r="L6" s="136"/>
      <c r="M6" s="137"/>
      <c r="N6" s="41"/>
      <c r="O6" s="41"/>
      <c r="P6" s="41"/>
      <c r="Q6" s="41"/>
      <c r="R6" s="41"/>
      <c r="S6" s="41"/>
      <c r="T6" s="41"/>
      <c r="U6" s="41"/>
      <c r="V6" s="41"/>
      <c r="W6" s="41"/>
    </row>
    <row r="7" spans="3:29" ht="22" customHeight="1" x14ac:dyDescent="0.35">
      <c r="C7" s="36"/>
      <c r="D7" s="36"/>
      <c r="E7" s="36"/>
      <c r="F7" s="29" t="str">
        <f t="shared" si="0"/>
        <v/>
      </c>
      <c r="G7" s="29" t="str">
        <f>IFERROR(VLOOKUP(F7,'Look Ups'!Y$11:Z$18,2,FALSE),"")</f>
        <v/>
      </c>
      <c r="H7" s="37" t="str">
        <f t="shared" si="1"/>
        <v/>
      </c>
      <c r="J7" s="135"/>
      <c r="K7" s="136"/>
      <c r="L7" s="136"/>
      <c r="M7" s="137"/>
      <c r="N7" s="41"/>
      <c r="O7" s="41"/>
      <c r="P7" s="41"/>
      <c r="Q7" s="41"/>
      <c r="R7" s="41"/>
      <c r="S7" s="41"/>
      <c r="T7" s="41"/>
      <c r="U7" s="41"/>
      <c r="V7" s="41"/>
      <c r="W7" s="41"/>
    </row>
    <row r="8" spans="3:29" ht="22" customHeight="1" x14ac:dyDescent="0.35">
      <c r="C8" s="36"/>
      <c r="D8" s="36"/>
      <c r="E8" s="36"/>
      <c r="F8" s="29" t="str">
        <f t="shared" si="0"/>
        <v/>
      </c>
      <c r="G8" s="29" t="str">
        <f>IFERROR(VLOOKUP(F8,'Look Ups'!Y$11:Z$18,2,FALSE),"")</f>
        <v/>
      </c>
      <c r="H8" s="37" t="str">
        <f t="shared" si="1"/>
        <v/>
      </c>
      <c r="J8" s="135"/>
      <c r="K8" s="136"/>
      <c r="L8" s="136"/>
      <c r="M8" s="137"/>
      <c r="N8" s="41"/>
      <c r="O8" s="41"/>
      <c r="P8" s="41"/>
      <c r="Q8" s="41"/>
      <c r="R8" s="41"/>
      <c r="S8" s="41"/>
      <c r="T8" s="41"/>
      <c r="U8" s="41"/>
      <c r="V8" s="41"/>
      <c r="W8" s="41"/>
    </row>
    <row r="9" spans="3:29" ht="22" customHeight="1" x14ac:dyDescent="0.35">
      <c r="C9" s="36"/>
      <c r="D9" s="36"/>
      <c r="E9" s="36"/>
      <c r="F9" s="29" t="str">
        <f t="shared" si="0"/>
        <v/>
      </c>
      <c r="G9" s="29" t="str">
        <f>IFERROR(VLOOKUP(F9,'Look Ups'!Y$11:Z$18,2,FALSE),"")</f>
        <v/>
      </c>
      <c r="H9" s="37" t="str">
        <f t="shared" si="1"/>
        <v/>
      </c>
      <c r="J9" s="135"/>
      <c r="K9" s="136"/>
      <c r="L9" s="136"/>
      <c r="M9" s="137"/>
      <c r="N9" s="41"/>
      <c r="O9" s="41"/>
      <c r="P9" s="41"/>
      <c r="Q9" s="41"/>
      <c r="R9" s="41"/>
      <c r="S9" s="41"/>
      <c r="T9" s="41"/>
      <c r="U9" s="41"/>
      <c r="V9" s="41"/>
      <c r="W9" s="41"/>
    </row>
    <row r="10" spans="3:29" ht="22" customHeight="1" thickBot="1" x14ac:dyDescent="0.4">
      <c r="C10" s="36"/>
      <c r="D10" s="36"/>
      <c r="E10" s="36"/>
      <c r="F10" s="29" t="str">
        <f t="shared" si="0"/>
        <v/>
      </c>
      <c r="G10" s="29" t="str">
        <f>IFERROR(VLOOKUP(F10,'Look Ups'!Y$11:Z$18,2,FALSE),"")</f>
        <v/>
      </c>
      <c r="H10" s="37" t="str">
        <f t="shared" si="1"/>
        <v/>
      </c>
      <c r="J10" s="135"/>
      <c r="K10" s="136"/>
      <c r="L10" s="136"/>
      <c r="M10" s="137"/>
      <c r="N10" s="41"/>
      <c r="O10" s="41"/>
      <c r="P10" s="41"/>
      <c r="Q10" s="41"/>
      <c r="R10" s="41"/>
      <c r="S10" s="41"/>
      <c r="T10" s="41"/>
      <c r="U10" s="41"/>
      <c r="V10" s="41"/>
      <c r="W10" s="41"/>
    </row>
    <row r="11" spans="3:29" ht="22" customHeight="1" x14ac:dyDescent="0.35">
      <c r="C11" s="36"/>
      <c r="D11" s="36"/>
      <c r="E11" s="36"/>
      <c r="F11" s="29" t="str">
        <f t="shared" si="0"/>
        <v/>
      </c>
      <c r="G11" s="29" t="str">
        <f>IFERROR(VLOOKUP(F11,'Look Ups'!Y$11:Z$18,2,FALSE),"")</f>
        <v/>
      </c>
      <c r="H11" s="37" t="str">
        <f t="shared" si="1"/>
        <v/>
      </c>
      <c r="J11" s="135"/>
      <c r="K11" s="136"/>
      <c r="L11" s="136"/>
      <c r="M11" s="137"/>
      <c r="N11" s="41"/>
      <c r="O11" s="41"/>
      <c r="P11" s="41"/>
      <c r="Q11" s="41"/>
      <c r="R11" s="41"/>
      <c r="S11" s="41"/>
      <c r="T11" s="41"/>
      <c r="U11" s="41"/>
      <c r="V11" s="41"/>
      <c r="W11" s="41"/>
      <c r="Y11" s="168" t="s">
        <v>190</v>
      </c>
      <c r="Z11" s="169"/>
      <c r="AA11" s="169"/>
      <c r="AB11" s="169"/>
      <c r="AC11" s="170"/>
    </row>
    <row r="12" spans="3:29" ht="22" customHeight="1" x14ac:dyDescent="0.35">
      <c r="C12" s="36"/>
      <c r="D12" s="36"/>
      <c r="E12" s="36"/>
      <c r="F12" s="29" t="str">
        <f t="shared" si="0"/>
        <v/>
      </c>
      <c r="G12" s="29" t="str">
        <f>IFERROR(VLOOKUP(F12,'Look Ups'!Y$11:Z$18,2,FALSE),"")</f>
        <v/>
      </c>
      <c r="H12" s="37" t="str">
        <f t="shared" si="1"/>
        <v/>
      </c>
      <c r="J12" s="135"/>
      <c r="K12" s="136"/>
      <c r="L12" s="136"/>
      <c r="M12" s="137"/>
      <c r="N12" s="41"/>
      <c r="O12" s="41"/>
      <c r="P12" s="41"/>
      <c r="Q12" s="41"/>
      <c r="R12" s="41"/>
      <c r="S12" s="41"/>
      <c r="T12" s="41"/>
      <c r="U12" s="41"/>
      <c r="V12" s="41"/>
      <c r="W12" s="41"/>
      <c r="Y12" s="171"/>
      <c r="Z12" s="142"/>
      <c r="AA12" s="142"/>
      <c r="AB12" s="142"/>
      <c r="AC12" s="172"/>
    </row>
    <row r="13" spans="3:29" ht="22" customHeight="1" x14ac:dyDescent="0.35">
      <c r="C13" s="36"/>
      <c r="D13" s="36"/>
      <c r="E13" s="36"/>
      <c r="F13" s="29" t="str">
        <f t="shared" si="0"/>
        <v/>
      </c>
      <c r="G13" s="29" t="str">
        <f>IFERROR(VLOOKUP(F13,'Look Ups'!Y$11:Z$18,2,FALSE),"")</f>
        <v/>
      </c>
      <c r="H13" s="37" t="str">
        <f t="shared" si="1"/>
        <v/>
      </c>
      <c r="J13" s="135"/>
      <c r="K13" s="136"/>
      <c r="L13" s="136"/>
      <c r="M13" s="137"/>
      <c r="N13" s="41"/>
      <c r="O13" s="41"/>
      <c r="P13" s="41"/>
      <c r="Q13" s="41"/>
      <c r="R13" s="41"/>
      <c r="S13" s="41"/>
      <c r="T13" s="41"/>
      <c r="U13" s="41"/>
      <c r="V13" s="41"/>
      <c r="W13" s="41"/>
      <c r="Y13" s="171"/>
      <c r="Z13" s="142"/>
      <c r="AA13" s="142"/>
      <c r="AB13" s="142"/>
      <c r="AC13" s="172"/>
    </row>
    <row r="14" spans="3:29" ht="22" customHeight="1" x14ac:dyDescent="0.35">
      <c r="C14" s="36"/>
      <c r="D14" s="36"/>
      <c r="E14" s="36"/>
      <c r="F14" s="29" t="str">
        <f t="shared" si="0"/>
        <v/>
      </c>
      <c r="G14" s="29" t="str">
        <f>IFERROR(VLOOKUP(F14,'Look Ups'!Y$11:Z$18,2,FALSE),"")</f>
        <v/>
      </c>
      <c r="H14" s="37" t="str">
        <f t="shared" si="1"/>
        <v/>
      </c>
      <c r="J14" s="135"/>
      <c r="K14" s="136"/>
      <c r="L14" s="136"/>
      <c r="M14" s="137"/>
      <c r="N14" s="41"/>
      <c r="O14" s="41"/>
      <c r="P14" s="41"/>
      <c r="Q14" s="41"/>
      <c r="R14" s="41"/>
      <c r="S14" s="41"/>
      <c r="T14" s="41"/>
      <c r="U14" s="41"/>
      <c r="V14" s="41"/>
      <c r="W14" s="41"/>
      <c r="Y14" s="171"/>
      <c r="Z14" s="142"/>
      <c r="AA14" s="142"/>
      <c r="AB14" s="142"/>
      <c r="AC14" s="172"/>
    </row>
    <row r="15" spans="3:29" ht="22" customHeight="1" thickBot="1" x14ac:dyDescent="0.4">
      <c r="C15" s="36"/>
      <c r="D15" s="36"/>
      <c r="E15" s="36"/>
      <c r="F15" s="29" t="str">
        <f t="shared" si="0"/>
        <v/>
      </c>
      <c r="G15" s="29" t="str">
        <f>IFERROR(VLOOKUP(F15,'Look Ups'!Y$11:Z$18,2,FALSE),"")</f>
        <v/>
      </c>
      <c r="H15" s="37" t="str">
        <f t="shared" si="1"/>
        <v/>
      </c>
      <c r="J15" s="135"/>
      <c r="K15" s="136"/>
      <c r="L15" s="136"/>
      <c r="M15" s="137"/>
      <c r="N15" s="41"/>
      <c r="O15" s="41"/>
      <c r="P15" s="41"/>
      <c r="Q15" s="41"/>
      <c r="R15" s="41"/>
      <c r="S15" s="41"/>
      <c r="T15" s="41"/>
      <c r="U15" s="41"/>
      <c r="V15" s="41"/>
      <c r="W15" s="41"/>
      <c r="Y15" s="171"/>
      <c r="Z15" s="142"/>
      <c r="AA15" s="142"/>
      <c r="AB15" s="142"/>
      <c r="AC15" s="172"/>
    </row>
    <row r="16" spans="3:29" ht="22" customHeight="1" x14ac:dyDescent="0.35">
      <c r="C16" s="36"/>
      <c r="D16" s="36"/>
      <c r="E16" s="36"/>
      <c r="F16" s="29" t="str">
        <f t="shared" si="0"/>
        <v/>
      </c>
      <c r="G16" s="29" t="str">
        <f>IFERROR(VLOOKUP(F16,'Look Ups'!Y$11:Z$18,2,FALSE),"")</f>
        <v/>
      </c>
      <c r="H16" s="37" t="str">
        <f t="shared" si="1"/>
        <v/>
      </c>
      <c r="J16" s="176" t="s">
        <v>190</v>
      </c>
      <c r="K16" s="177"/>
      <c r="L16" s="177"/>
      <c r="M16" s="178"/>
      <c r="N16" s="41"/>
      <c r="O16" s="41"/>
      <c r="P16" s="41"/>
      <c r="Q16" s="41"/>
      <c r="R16" s="41"/>
      <c r="S16" s="41"/>
      <c r="T16" s="41"/>
      <c r="U16" s="41"/>
      <c r="V16" s="41"/>
      <c r="W16" s="41"/>
      <c r="Y16" s="171"/>
      <c r="Z16" s="142"/>
      <c r="AA16" s="142"/>
      <c r="AB16" s="142"/>
      <c r="AC16" s="172"/>
    </row>
    <row r="17" spans="3:29" ht="22" customHeight="1" thickBot="1" x14ac:dyDescent="0.4">
      <c r="C17" s="36"/>
      <c r="D17" s="36"/>
      <c r="E17" s="36"/>
      <c r="F17" s="29" t="str">
        <f t="shared" si="0"/>
        <v/>
      </c>
      <c r="G17" s="29" t="str">
        <f>IFERROR(VLOOKUP(F17,'Look Ups'!Y$11:Z$18,2,FALSE),"")</f>
        <v/>
      </c>
      <c r="H17" s="37" t="str">
        <f t="shared" si="1"/>
        <v/>
      </c>
      <c r="J17" s="179"/>
      <c r="K17" s="142"/>
      <c r="L17" s="142"/>
      <c r="M17" s="180"/>
      <c r="N17" s="41"/>
      <c r="O17" s="41"/>
      <c r="P17" s="41"/>
      <c r="Q17" s="41"/>
      <c r="R17" s="41"/>
      <c r="S17" s="41"/>
      <c r="T17" s="41"/>
      <c r="U17" s="41"/>
      <c r="V17" s="41"/>
      <c r="W17" s="41"/>
      <c r="Y17" s="173"/>
      <c r="Z17" s="174"/>
      <c r="AA17" s="174"/>
      <c r="AB17" s="174"/>
      <c r="AC17" s="175"/>
    </row>
    <row r="18" spans="3:29" ht="22" customHeight="1" x14ac:dyDescent="0.35">
      <c r="C18" s="36"/>
      <c r="D18" s="36"/>
      <c r="E18" s="36"/>
      <c r="F18" s="29" t="str">
        <f t="shared" si="0"/>
        <v/>
      </c>
      <c r="G18" s="29" t="str">
        <f>IFERROR(VLOOKUP(F18,'Look Ups'!Y$11:Z$18,2,FALSE),"")</f>
        <v/>
      </c>
      <c r="H18" s="37" t="str">
        <f t="shared" si="1"/>
        <v/>
      </c>
      <c r="J18" s="179"/>
      <c r="K18" s="142"/>
      <c r="L18" s="142"/>
      <c r="M18" s="180"/>
      <c r="N18" s="41"/>
      <c r="O18" s="41"/>
      <c r="P18" s="41"/>
      <c r="Q18" s="41"/>
      <c r="R18" s="41"/>
      <c r="S18" s="41"/>
      <c r="T18" s="41"/>
      <c r="U18" s="41"/>
      <c r="V18" s="41"/>
      <c r="W18" s="41"/>
    </row>
    <row r="19" spans="3:29" ht="22" customHeight="1" x14ac:dyDescent="0.35">
      <c r="C19" s="36"/>
      <c r="D19" s="36"/>
      <c r="E19" s="36"/>
      <c r="F19" s="29" t="str">
        <f t="shared" si="0"/>
        <v/>
      </c>
      <c r="G19" s="29" t="str">
        <f>IFERROR(VLOOKUP(F19,'Look Ups'!Y$11:Z$18,2,FALSE),"")</f>
        <v/>
      </c>
      <c r="H19" s="37" t="str">
        <f t="shared" si="1"/>
        <v/>
      </c>
      <c r="J19" s="179"/>
      <c r="K19" s="142"/>
      <c r="L19" s="142"/>
      <c r="M19" s="180"/>
      <c r="N19" s="41"/>
      <c r="O19" s="41"/>
      <c r="P19" s="41"/>
      <c r="Q19" s="41"/>
      <c r="R19" s="41"/>
      <c r="S19" s="41"/>
      <c r="T19" s="41"/>
      <c r="U19" s="41"/>
      <c r="V19" s="41"/>
      <c r="W19" s="41"/>
    </row>
    <row r="20" spans="3:29" ht="22" customHeight="1" x14ac:dyDescent="0.35">
      <c r="C20" s="36"/>
      <c r="D20" s="36"/>
      <c r="E20" s="36"/>
      <c r="F20" s="29" t="str">
        <f t="shared" si="0"/>
        <v/>
      </c>
      <c r="G20" s="29" t="str">
        <f>IFERROR(VLOOKUP(F20,'Look Ups'!Y$11:Z$18,2,FALSE),"")</f>
        <v/>
      </c>
      <c r="H20" s="37" t="str">
        <f t="shared" si="1"/>
        <v/>
      </c>
      <c r="J20" s="179"/>
      <c r="K20" s="142"/>
      <c r="L20" s="142"/>
      <c r="M20" s="180"/>
      <c r="N20" s="41"/>
      <c r="O20" s="41"/>
      <c r="P20" s="41"/>
      <c r="Q20" s="41"/>
      <c r="R20" s="41"/>
      <c r="S20" s="41"/>
      <c r="T20" s="41"/>
      <c r="U20" s="41"/>
      <c r="V20" s="41"/>
      <c r="W20" s="41"/>
    </row>
    <row r="21" spans="3:29" ht="22" customHeight="1" x14ac:dyDescent="0.35">
      <c r="C21" s="36"/>
      <c r="D21" s="36"/>
      <c r="E21" s="36"/>
      <c r="F21" s="29" t="str">
        <f t="shared" si="0"/>
        <v/>
      </c>
      <c r="G21" s="29" t="str">
        <f>IFERROR(VLOOKUP(F21,'Look Ups'!Y$11:Z$18,2,FALSE),"")</f>
        <v/>
      </c>
      <c r="H21" s="37" t="str">
        <f t="shared" si="1"/>
        <v/>
      </c>
      <c r="J21" s="179"/>
      <c r="K21" s="142"/>
      <c r="L21" s="142"/>
      <c r="M21" s="180"/>
      <c r="N21" s="41"/>
      <c r="O21" s="41"/>
      <c r="P21" s="41"/>
      <c r="Q21" s="41"/>
      <c r="R21" s="41"/>
      <c r="S21" s="41"/>
      <c r="T21" s="41"/>
      <c r="U21" s="41"/>
      <c r="V21" s="41"/>
      <c r="W21" s="41"/>
    </row>
    <row r="22" spans="3:29" ht="22" customHeight="1" thickBot="1" x14ac:dyDescent="0.4">
      <c r="C22" s="36"/>
      <c r="D22" s="36"/>
      <c r="E22" s="36"/>
      <c r="F22" s="29" t="str">
        <f t="shared" si="0"/>
        <v/>
      </c>
      <c r="G22" s="29" t="str">
        <f>IFERROR(VLOOKUP(F22,'Look Ups'!Y$11:Z$18,2,FALSE),"")</f>
        <v/>
      </c>
      <c r="H22" s="37" t="str">
        <f t="shared" si="1"/>
        <v/>
      </c>
      <c r="J22" s="181"/>
      <c r="K22" s="182"/>
      <c r="L22" s="182"/>
      <c r="M22" s="183"/>
      <c r="N22" s="41"/>
      <c r="O22" s="41"/>
      <c r="P22" s="41"/>
      <c r="Q22" s="41"/>
      <c r="R22" s="41"/>
      <c r="S22" s="41"/>
      <c r="T22" s="41"/>
      <c r="U22" s="41"/>
      <c r="V22" s="41"/>
      <c r="W22" s="41"/>
    </row>
    <row r="23" spans="3:29" x14ac:dyDescent="0.35"/>
  </sheetData>
  <sheetProtection algorithmName="SHA-512" hashValue="Y9tKlGYS32ejiIbsVuzR9ndPNMc1AXWWb8r0nafyp66nDdIiF7YCm0Ret8l3WKUMeqegLr26KyYknhtgEsPA5A==" saltValue="lmBk9cbvZerv7y9iHoeJwg==" spinCount="100000" sheet="1" objects="1" scenarios="1"/>
  <mergeCells count="4">
    <mergeCell ref="Y11:AC17"/>
    <mergeCell ref="D2:H2"/>
    <mergeCell ref="J4:M15"/>
    <mergeCell ref="J16:M22"/>
  </mergeCells>
  <conditionalFormatting sqref="H5:H22">
    <cfRule type="expression" dxfId="7" priority="1">
      <formula>$D$2="Please confirm your acceptance of the Terms of Use"</formula>
    </cfRule>
    <cfRule type="expression" dxfId="6" priority="3">
      <formula>$D$2="Please refer to Terms Of Use"</formula>
    </cfRule>
    <cfRule type="expression" dxfId="5" priority="4">
      <formula>$D$2="Please refer to Front Page"</formula>
    </cfRule>
  </conditionalFormatting>
  <dataValidations count="1">
    <dataValidation type="whole" allowBlank="1" showInputMessage="1" showErrorMessage="1" sqref="E5:E1048576" xr:uid="{63DA8E13-CBFF-455F-BC03-317FF0C911EA}">
      <formula1>1</formula1>
      <formula2>10000000000000</formula2>
    </dataValidation>
  </dataValidations>
  <hyperlinks>
    <hyperlink ref="Y11:AC17" r:id="rId1" display="You can find our Design &amp; Construction Specifications here." xr:uid="{9B502D66-C778-4391-A73B-252E1C487A5E}"/>
    <hyperlink ref="J16:M22" r:id="rId2" display="You can find our Design &amp; Construction Specifications here." xr:uid="{2EB7CC49-B4D9-42EA-96E1-544FB0C30D3C}"/>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2CDFD661-5707-49D7-9D6F-72FC5ACD1405}">
          <x14:formula1>
            <xm:f>Lists!$A$1:$A$2</xm:f>
          </x14:formula1>
          <xm:sqref>C5:C1048576</xm:sqref>
        </x14:dataValidation>
        <x14:dataValidation type="list" allowBlank="1" showInputMessage="1" showErrorMessage="1" xr:uid="{CBC4C74B-F0BB-4B6A-802F-373B2944E97B}">
          <x14:formula1>
            <xm:f>Lists!$C$1:$C$4</xm:f>
          </x14:formula1>
          <xm:sqref>D5:D1048576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48E5-BDCF-4997-8AD8-60166B8083FB}">
  <sheetPr codeName="Sheet15"/>
  <dimension ref="A1:O24"/>
  <sheetViews>
    <sheetView workbookViewId="0">
      <selection activeCell="B38" sqref="B38"/>
    </sheetView>
  </sheetViews>
  <sheetFormatPr defaultColWidth="8.7265625" defaultRowHeight="21.5" x14ac:dyDescent="0.9"/>
  <cols>
    <col min="1" max="1" width="14.453125" style="4" customWidth="1"/>
    <col min="2" max="2" width="16" style="4" customWidth="1"/>
    <col min="3" max="3" width="11.81640625" style="4" hidden="1" customWidth="1"/>
    <col min="4" max="4" width="12.54296875" style="4" customWidth="1"/>
    <col min="5" max="7" width="8.7265625" style="4"/>
    <col min="8" max="8" width="13.54296875" style="4" customWidth="1"/>
    <col min="9" max="9" width="18" style="4" customWidth="1"/>
    <col min="10" max="10" width="15.453125" style="4" customWidth="1"/>
    <col min="11" max="11" width="50.81640625" style="4" customWidth="1"/>
    <col min="12" max="12" width="47" style="4" bestFit="1" customWidth="1"/>
    <col min="13" max="13" width="12.81640625" style="4" hidden="1" customWidth="1"/>
    <col min="14" max="16384" width="8.7265625" style="4"/>
  </cols>
  <sheetData>
    <row r="1" spans="1:15" x14ac:dyDescent="0.9">
      <c r="A1" s="2" t="s">
        <v>80</v>
      </c>
      <c r="B1" s="2" t="str">
        <f>IF(Lists!W6="LOCKED","Please refer to Front Page",SUM(D4:D20)+SUM(N4:N20))</f>
        <v>Please refer to Front Page</v>
      </c>
      <c r="C1" s="2"/>
      <c r="D1" s="2"/>
    </row>
    <row r="2" spans="1:15" x14ac:dyDescent="0.9">
      <c r="A2" s="184" t="s">
        <v>155</v>
      </c>
      <c r="B2" s="184"/>
      <c r="C2" s="184"/>
      <c r="D2" s="184"/>
      <c r="H2" s="184" t="s">
        <v>156</v>
      </c>
      <c r="I2" s="184"/>
      <c r="J2" s="184"/>
      <c r="K2" s="184"/>
      <c r="L2" s="184"/>
      <c r="M2" s="184"/>
      <c r="N2" s="184"/>
      <c r="O2" s="6"/>
    </row>
    <row r="3" spans="1:15" x14ac:dyDescent="0.9">
      <c r="A3" s="1" t="s">
        <v>131</v>
      </c>
      <c r="B3" s="1" t="s">
        <v>0</v>
      </c>
      <c r="C3" s="1" t="s">
        <v>7</v>
      </c>
      <c r="D3" s="1" t="s">
        <v>13</v>
      </c>
      <c r="H3" s="1" t="s">
        <v>131</v>
      </c>
      <c r="I3" s="1" t="s">
        <v>157</v>
      </c>
      <c r="J3" s="1" t="s">
        <v>0</v>
      </c>
      <c r="K3" s="1" t="s">
        <v>158</v>
      </c>
      <c r="L3" s="1" t="s">
        <v>159</v>
      </c>
      <c r="M3" s="1" t="s">
        <v>111</v>
      </c>
      <c r="N3" s="1" t="s">
        <v>13</v>
      </c>
    </row>
    <row r="4" spans="1:15" x14ac:dyDescent="0.9">
      <c r="A4" s="3"/>
      <c r="B4" s="3"/>
      <c r="C4" s="1" t="str">
        <f>A4&amp;B4</f>
        <v/>
      </c>
      <c r="D4" s="1" t="str">
        <f>IFERROR(VLOOKUP(C4,'Look Ups'!$BS$8:$BT$15,2,FALSE),"")</f>
        <v/>
      </c>
      <c r="H4" s="3"/>
      <c r="I4" s="3"/>
      <c r="J4" s="3"/>
      <c r="K4" s="3"/>
      <c r="L4" s="3"/>
      <c r="M4" s="1" t="str">
        <f>H4&amp;I4&amp;J4</f>
        <v/>
      </c>
      <c r="N4" s="1" t="str">
        <f>IFERROR((((VLOOKUP(M4,'Look Ups'!$BX$8:$BY$31,2,FALSE))+((VLOOKUP(M4,'Look Ups'!$BX$8:$BZ$31,3,FALSE))*'12. Disconnection And Capping'!K4)+((VLOOKUP(M4,'Look Ups'!$BX$8:$CA$31,4,FALSE))*'12. Disconnection And Capping'!L4))),"")</f>
        <v/>
      </c>
    </row>
    <row r="5" spans="1:15" x14ac:dyDescent="0.9">
      <c r="A5" s="3"/>
      <c r="B5" s="3"/>
      <c r="C5" s="1" t="str">
        <f t="shared" ref="C5:C20" si="0">A5&amp;B5</f>
        <v/>
      </c>
      <c r="D5" s="1" t="str">
        <f>IFERROR(VLOOKUP(C5,'Look Ups'!$BS$8:$BT$15,2,FALSE),"")</f>
        <v/>
      </c>
      <c r="H5" s="3"/>
      <c r="I5" s="3"/>
      <c r="J5" s="3"/>
      <c r="K5" s="3"/>
      <c r="L5" s="3"/>
      <c r="M5" s="1" t="str">
        <f t="shared" ref="M5:M20" si="1">H5&amp;I5&amp;J5</f>
        <v/>
      </c>
      <c r="N5" s="1" t="str">
        <f>IFERROR((((VLOOKUP(M5,'Look Ups'!$BX$8:$BY$31,2,FALSE))+((VLOOKUP(M5,'Look Ups'!$BX$8:$BZ$31,3,FALSE))*'12. Disconnection And Capping'!K5)+((VLOOKUP(M5,'Look Ups'!$BX$8:$CA$31,4,FALSE))*'12. Disconnection And Capping'!L5))),"")</f>
        <v/>
      </c>
    </row>
    <row r="6" spans="1:15" x14ac:dyDescent="0.9">
      <c r="A6" s="3"/>
      <c r="B6" s="3"/>
      <c r="C6" s="1" t="str">
        <f t="shared" si="0"/>
        <v/>
      </c>
      <c r="D6" s="1" t="str">
        <f>IFERROR(VLOOKUP(C6,'Look Ups'!$BS$8:$BT$15,2,FALSE),"")</f>
        <v/>
      </c>
      <c r="H6" s="3"/>
      <c r="I6" s="3"/>
      <c r="J6" s="3"/>
      <c r="K6" s="3"/>
      <c r="L6" s="3"/>
      <c r="M6" s="1" t="str">
        <f t="shared" si="1"/>
        <v/>
      </c>
      <c r="N6" s="1" t="str">
        <f>IFERROR((((VLOOKUP(M6,'Look Ups'!$BX$8:$BY$31,2,FALSE))+((VLOOKUP(M6,'Look Ups'!$BX$8:$BZ$31,3,FALSE))*'12. Disconnection And Capping'!K6)+((VLOOKUP(M6,'Look Ups'!$BX$8:$CA$31,4,FALSE))*'12. Disconnection And Capping'!L6))),"")</f>
        <v/>
      </c>
    </row>
    <row r="7" spans="1:15" x14ac:dyDescent="0.9">
      <c r="A7" s="3"/>
      <c r="B7" s="3"/>
      <c r="C7" s="1" t="str">
        <f t="shared" si="0"/>
        <v/>
      </c>
      <c r="D7" s="1" t="str">
        <f>IFERROR(VLOOKUP(C7,'Look Ups'!$BS$8:$BT$15,2,FALSE),"")</f>
        <v/>
      </c>
      <c r="H7" s="3"/>
      <c r="I7" s="3"/>
      <c r="J7" s="3"/>
      <c r="K7" s="3"/>
      <c r="L7" s="3"/>
      <c r="M7" s="1" t="str">
        <f t="shared" si="1"/>
        <v/>
      </c>
      <c r="N7" s="1" t="str">
        <f>IFERROR((((VLOOKUP(M7,'Look Ups'!$BX$8:$BY$31,2,FALSE))+((VLOOKUP(M7,'Look Ups'!$BX$8:$BZ$31,3,FALSE))*'12. Disconnection And Capping'!K7)+((VLOOKUP(M7,'Look Ups'!$BX$8:$CA$31,4,FALSE))*'12. Disconnection And Capping'!L7))),"")</f>
        <v/>
      </c>
    </row>
    <row r="8" spans="1:15" x14ac:dyDescent="0.9">
      <c r="A8" s="3"/>
      <c r="B8" s="3"/>
      <c r="C8" s="1" t="str">
        <f t="shared" si="0"/>
        <v/>
      </c>
      <c r="D8" s="1" t="str">
        <f>IFERROR(VLOOKUP(C8,'Look Ups'!$BS$8:$BT$15,2,FALSE),"")</f>
        <v/>
      </c>
      <c r="H8" s="3"/>
      <c r="I8" s="3"/>
      <c r="J8" s="3"/>
      <c r="K8" s="3"/>
      <c r="L8" s="3"/>
      <c r="M8" s="1" t="str">
        <f t="shared" si="1"/>
        <v/>
      </c>
      <c r="N8" s="1" t="str">
        <f>IFERROR((((VLOOKUP(M8,'Look Ups'!$BX$8:$BY$31,2,FALSE))+((VLOOKUP(M8,'Look Ups'!$BX$8:$BZ$31,3,FALSE))*'12. Disconnection And Capping'!K8)+((VLOOKUP(M8,'Look Ups'!$BX$8:$CA$31,4,FALSE))*'12. Disconnection And Capping'!L8))),"")</f>
        <v/>
      </c>
    </row>
    <row r="9" spans="1:15" x14ac:dyDescent="0.9">
      <c r="A9" s="3"/>
      <c r="B9" s="3"/>
      <c r="C9" s="1" t="str">
        <f t="shared" si="0"/>
        <v/>
      </c>
      <c r="D9" s="1" t="str">
        <f>IFERROR(VLOOKUP(C9,'Look Ups'!$BS$8:$BT$15,2,FALSE),"")</f>
        <v/>
      </c>
      <c r="H9" s="3"/>
      <c r="I9" s="3"/>
      <c r="J9" s="3"/>
      <c r="K9" s="3"/>
      <c r="L9" s="3"/>
      <c r="M9" s="1" t="str">
        <f t="shared" si="1"/>
        <v/>
      </c>
      <c r="N9" s="1" t="str">
        <f>IFERROR((((VLOOKUP(M9,'Look Ups'!$BX$8:$BY$31,2,FALSE))+((VLOOKUP(M9,'Look Ups'!$BX$8:$BZ$31,3,FALSE))*'12. Disconnection And Capping'!K9)+((VLOOKUP(M9,'Look Ups'!$BX$8:$CA$31,4,FALSE))*'12. Disconnection And Capping'!L9))),"")</f>
        <v/>
      </c>
    </row>
    <row r="10" spans="1:15" x14ac:dyDescent="0.9">
      <c r="A10" s="3"/>
      <c r="B10" s="3"/>
      <c r="C10" s="1" t="str">
        <f t="shared" si="0"/>
        <v/>
      </c>
      <c r="D10" s="1" t="str">
        <f>IFERROR(VLOOKUP(C10,'Look Ups'!$BS$8:$BT$15,2,FALSE),"")</f>
        <v/>
      </c>
      <c r="H10" s="3"/>
      <c r="I10" s="3"/>
      <c r="J10" s="3"/>
      <c r="K10" s="3"/>
      <c r="L10" s="3"/>
      <c r="M10" s="1" t="str">
        <f t="shared" si="1"/>
        <v/>
      </c>
      <c r="N10" s="1" t="str">
        <f>IFERROR((((VLOOKUP(M10,'Look Ups'!$BX$8:$BY$31,2,FALSE))+((VLOOKUP(M10,'Look Ups'!$BX$8:$BZ$31,3,FALSE))*'12. Disconnection And Capping'!K10)+((VLOOKUP(M10,'Look Ups'!$BX$8:$CA$31,4,FALSE))*'12. Disconnection And Capping'!L10))),"")</f>
        <v/>
      </c>
    </row>
    <row r="11" spans="1:15" x14ac:dyDescent="0.9">
      <c r="A11" s="3"/>
      <c r="B11" s="3"/>
      <c r="C11" s="1" t="str">
        <f t="shared" si="0"/>
        <v/>
      </c>
      <c r="D11" s="1" t="str">
        <f>IFERROR(VLOOKUP(C11,'Look Ups'!$BS$8:$BT$15,2,FALSE),"")</f>
        <v/>
      </c>
      <c r="H11" s="3"/>
      <c r="I11" s="3"/>
      <c r="J11" s="3"/>
      <c r="K11" s="3"/>
      <c r="L11" s="3"/>
      <c r="M11" s="1" t="str">
        <f t="shared" si="1"/>
        <v/>
      </c>
      <c r="N11" s="1" t="str">
        <f>IFERROR((((VLOOKUP(M11,'Look Ups'!$BX$8:$BY$31,2,FALSE))+((VLOOKUP(M11,'Look Ups'!$BX$8:$BZ$31,3,FALSE))*'12. Disconnection And Capping'!K11)+((VLOOKUP(M11,'Look Ups'!$BX$8:$CA$31,4,FALSE))*'12. Disconnection And Capping'!L11))),"")</f>
        <v/>
      </c>
    </row>
    <row r="12" spans="1:15" x14ac:dyDescent="0.9">
      <c r="A12" s="3"/>
      <c r="B12" s="3"/>
      <c r="C12" s="1" t="str">
        <f t="shared" si="0"/>
        <v/>
      </c>
      <c r="D12" s="1" t="str">
        <f>IFERROR(VLOOKUP(C12,'Look Ups'!$BS$8:$BT$15,2,FALSE),"")</f>
        <v/>
      </c>
      <c r="H12" s="3"/>
      <c r="I12" s="3"/>
      <c r="J12" s="3"/>
      <c r="K12" s="3"/>
      <c r="L12" s="3"/>
      <c r="M12" s="1" t="str">
        <f t="shared" si="1"/>
        <v/>
      </c>
      <c r="N12" s="1" t="str">
        <f>IFERROR((((VLOOKUP(M12,'Look Ups'!$BX$8:$BY$31,2,FALSE))+((VLOOKUP(M12,'Look Ups'!$BX$8:$BZ$31,3,FALSE))*'12. Disconnection And Capping'!K12)+((VLOOKUP(M12,'Look Ups'!$BX$8:$CA$31,4,FALSE))*'12. Disconnection And Capping'!L12))),"")</f>
        <v/>
      </c>
    </row>
    <row r="13" spans="1:15" x14ac:dyDescent="0.9">
      <c r="A13" s="3"/>
      <c r="B13" s="3"/>
      <c r="C13" s="1" t="str">
        <f t="shared" si="0"/>
        <v/>
      </c>
      <c r="D13" s="1" t="str">
        <f>IFERROR(VLOOKUP(C13,'Look Ups'!$BS$8:$BT$15,2,FALSE),"")</f>
        <v/>
      </c>
      <c r="H13" s="3"/>
      <c r="I13" s="3"/>
      <c r="J13" s="3"/>
      <c r="K13" s="3"/>
      <c r="L13" s="3"/>
      <c r="M13" s="1" t="str">
        <f t="shared" si="1"/>
        <v/>
      </c>
      <c r="N13" s="1" t="str">
        <f>IFERROR((((VLOOKUP(M13,'Look Ups'!$BX$8:$BY$31,2,FALSE))+((VLOOKUP(M13,'Look Ups'!$BX$8:$BZ$31,3,FALSE))*'12. Disconnection And Capping'!K13)+((VLOOKUP(M13,'Look Ups'!$BX$8:$CA$31,4,FALSE))*'12. Disconnection And Capping'!L13))),"")</f>
        <v/>
      </c>
    </row>
    <row r="14" spans="1:15" x14ac:dyDescent="0.9">
      <c r="A14" s="3"/>
      <c r="B14" s="3"/>
      <c r="C14" s="1" t="str">
        <f t="shared" si="0"/>
        <v/>
      </c>
      <c r="D14" s="1" t="str">
        <f>IFERROR(VLOOKUP(C14,'Look Ups'!$BS$8:$BT$15,2,FALSE),"")</f>
        <v/>
      </c>
      <c r="H14" s="3"/>
      <c r="I14" s="3"/>
      <c r="J14" s="3"/>
      <c r="K14" s="3"/>
      <c r="L14" s="3"/>
      <c r="M14" s="1" t="str">
        <f t="shared" si="1"/>
        <v/>
      </c>
      <c r="N14" s="1" t="str">
        <f>IFERROR((((VLOOKUP(M14,'Look Ups'!$BX$8:$BY$31,2,FALSE))+((VLOOKUP(M14,'Look Ups'!$BX$8:$BZ$31,3,FALSE))*'12. Disconnection And Capping'!K14)+((VLOOKUP(M14,'Look Ups'!$BX$8:$CA$31,4,FALSE))*'12. Disconnection And Capping'!L14))),"")</f>
        <v/>
      </c>
    </row>
    <row r="15" spans="1:15" x14ac:dyDescent="0.9">
      <c r="A15" s="3"/>
      <c r="B15" s="3"/>
      <c r="C15" s="1" t="str">
        <f t="shared" si="0"/>
        <v/>
      </c>
      <c r="D15" s="1" t="str">
        <f>IFERROR(VLOOKUP(C15,'Look Ups'!$BS$8:$BT$15,2,FALSE),"")</f>
        <v/>
      </c>
      <c r="H15" s="3"/>
      <c r="I15" s="3"/>
      <c r="J15" s="3"/>
      <c r="K15" s="3"/>
      <c r="L15" s="3"/>
      <c r="M15" s="1" t="str">
        <f t="shared" si="1"/>
        <v/>
      </c>
      <c r="N15" s="1" t="str">
        <f>IFERROR((((VLOOKUP(M15,'Look Ups'!$BX$8:$BY$31,2,FALSE))+((VLOOKUP(M15,'Look Ups'!$BX$8:$BZ$31,3,FALSE))*'12. Disconnection And Capping'!K15)+((VLOOKUP(M15,'Look Ups'!$BX$8:$CA$31,4,FALSE))*'12. Disconnection And Capping'!L15))),"")</f>
        <v/>
      </c>
    </row>
    <row r="16" spans="1:15" x14ac:dyDescent="0.9">
      <c r="A16" s="3"/>
      <c r="B16" s="3"/>
      <c r="C16" s="1" t="str">
        <f t="shared" si="0"/>
        <v/>
      </c>
      <c r="D16" s="1" t="str">
        <f>IFERROR(VLOOKUP(C16,'Look Ups'!$BS$8:$BT$15,2,FALSE),"")</f>
        <v/>
      </c>
      <c r="H16" s="3"/>
      <c r="I16" s="3"/>
      <c r="J16" s="3"/>
      <c r="K16" s="3"/>
      <c r="L16" s="3"/>
      <c r="M16" s="1" t="str">
        <f t="shared" si="1"/>
        <v/>
      </c>
      <c r="N16" s="1" t="str">
        <f>IFERROR((((VLOOKUP(M16,'Look Ups'!$BX$8:$BY$31,2,FALSE))+((VLOOKUP(M16,'Look Ups'!$BX$8:$BZ$31,3,FALSE))*'12. Disconnection And Capping'!K16)+((VLOOKUP(M16,'Look Ups'!$BX$8:$CA$31,4,FALSE))*'12. Disconnection And Capping'!L16))),"")</f>
        <v/>
      </c>
    </row>
    <row r="17" spans="1:14" x14ac:dyDescent="0.9">
      <c r="A17" s="3"/>
      <c r="B17" s="3"/>
      <c r="C17" s="1" t="str">
        <f t="shared" si="0"/>
        <v/>
      </c>
      <c r="D17" s="1" t="str">
        <f>IFERROR(VLOOKUP(C17,'Look Ups'!$BS$8:$BT$15,2,FALSE),"")</f>
        <v/>
      </c>
      <c r="H17" s="3"/>
      <c r="I17" s="3"/>
      <c r="J17" s="3"/>
      <c r="K17" s="3"/>
      <c r="L17" s="3"/>
      <c r="M17" s="1" t="str">
        <f t="shared" si="1"/>
        <v/>
      </c>
      <c r="N17" s="1" t="str">
        <f>IFERROR((((VLOOKUP(M17,'Look Ups'!$BX$8:$BY$31,2,FALSE))+((VLOOKUP(M17,'Look Ups'!$BX$8:$BZ$31,3,FALSE))*'12. Disconnection And Capping'!K17)+((VLOOKUP(M17,'Look Ups'!$BX$8:$CA$31,4,FALSE))*'12. Disconnection And Capping'!L17))),"")</f>
        <v/>
      </c>
    </row>
    <row r="18" spans="1:14" x14ac:dyDescent="0.9">
      <c r="A18" s="3"/>
      <c r="B18" s="3"/>
      <c r="C18" s="1" t="str">
        <f t="shared" si="0"/>
        <v/>
      </c>
      <c r="D18" s="1" t="str">
        <f>IFERROR(VLOOKUP(C18,'Look Ups'!$BS$8:$BT$15,2,FALSE),"")</f>
        <v/>
      </c>
      <c r="H18" s="3"/>
      <c r="I18" s="3"/>
      <c r="J18" s="3"/>
      <c r="K18" s="3"/>
      <c r="L18" s="3"/>
      <c r="M18" s="1" t="str">
        <f t="shared" si="1"/>
        <v/>
      </c>
      <c r="N18" s="1" t="str">
        <f>IFERROR((((VLOOKUP(M18,'Look Ups'!$BX$8:$BY$31,2,FALSE))+((VLOOKUP(M18,'Look Ups'!$BX$8:$BZ$31,3,FALSE))*'12. Disconnection And Capping'!K18)+((VLOOKUP(M18,'Look Ups'!$BX$8:$CA$31,4,FALSE))*'12. Disconnection And Capping'!L18))),"")</f>
        <v/>
      </c>
    </row>
    <row r="19" spans="1:14" x14ac:dyDescent="0.9">
      <c r="A19" s="3"/>
      <c r="B19" s="3"/>
      <c r="C19" s="1" t="str">
        <f t="shared" si="0"/>
        <v/>
      </c>
      <c r="D19" s="1" t="str">
        <f>IFERROR(VLOOKUP(C19,'Look Ups'!$BS$8:$BT$15,2,FALSE),"")</f>
        <v/>
      </c>
      <c r="H19" s="3"/>
      <c r="I19" s="3"/>
      <c r="J19" s="3"/>
      <c r="K19" s="3"/>
      <c r="L19" s="3"/>
      <c r="M19" s="1" t="str">
        <f t="shared" si="1"/>
        <v/>
      </c>
      <c r="N19" s="1" t="str">
        <f>IFERROR((((VLOOKUP(M19,'Look Ups'!$BX$8:$BY$31,2,FALSE))+((VLOOKUP(M19,'Look Ups'!$BX$8:$BZ$31,3,FALSE))*'12. Disconnection And Capping'!K19)+((VLOOKUP(M19,'Look Ups'!$BX$8:$CA$31,4,FALSE))*'12. Disconnection And Capping'!L19))),"")</f>
        <v/>
      </c>
    </row>
    <row r="20" spans="1:14" x14ac:dyDescent="0.9">
      <c r="A20" s="3"/>
      <c r="B20" s="3"/>
      <c r="C20" s="1" t="str">
        <f t="shared" si="0"/>
        <v/>
      </c>
      <c r="D20" s="1" t="str">
        <f>IFERROR(VLOOKUP(C20,'Look Ups'!$BS$8:$BT$15,2,FALSE),"")</f>
        <v/>
      </c>
      <c r="H20" s="3"/>
      <c r="I20" s="3"/>
      <c r="J20" s="3"/>
      <c r="K20" s="3"/>
      <c r="L20" s="3"/>
      <c r="M20" s="1" t="str">
        <f t="shared" si="1"/>
        <v/>
      </c>
      <c r="N20" s="1" t="str">
        <f>IFERROR((((VLOOKUP(M20,'Look Ups'!$BX$8:$BY$31,2,FALSE))+((VLOOKUP(M20,'Look Ups'!$BX$8:$BZ$31,3,FALSE))*'12. Disconnection And Capping'!K20)+((VLOOKUP(M20,'Look Ups'!$BX$8:$CA$31,4,FALSE))*'12. Disconnection And Capping'!L20))),"")</f>
        <v/>
      </c>
    </row>
    <row r="22" spans="1:14" ht="27.65" customHeight="1" x14ac:dyDescent="0.9">
      <c r="B22" s="167" t="s">
        <v>185</v>
      </c>
      <c r="C22" s="167"/>
      <c r="D22" s="167"/>
      <c r="E22" s="167"/>
      <c r="F22" s="167"/>
      <c r="G22" s="167"/>
      <c r="H22" s="167"/>
      <c r="I22" s="167"/>
      <c r="J22" s="167"/>
      <c r="K22" s="167"/>
      <c r="L22" s="167"/>
    </row>
    <row r="23" spans="1:14" ht="27.65" customHeight="1" x14ac:dyDescent="0.9">
      <c r="B23" s="167"/>
      <c r="C23" s="167"/>
      <c r="D23" s="167"/>
      <c r="E23" s="167"/>
      <c r="F23" s="167"/>
      <c r="G23" s="167"/>
      <c r="H23" s="167"/>
      <c r="I23" s="167"/>
      <c r="J23" s="167"/>
      <c r="K23" s="167"/>
      <c r="L23" s="167"/>
    </row>
    <row r="24" spans="1:14" ht="27.65" customHeight="1" x14ac:dyDescent="0.9">
      <c r="B24" s="167"/>
      <c r="C24" s="167"/>
      <c r="D24" s="167"/>
      <c r="E24" s="167"/>
      <c r="F24" s="167"/>
      <c r="G24" s="167"/>
      <c r="H24" s="167"/>
      <c r="I24" s="167"/>
      <c r="J24" s="167"/>
      <c r="K24" s="167"/>
      <c r="L24" s="167"/>
    </row>
  </sheetData>
  <mergeCells count="3">
    <mergeCell ref="A2:D2"/>
    <mergeCell ref="H2:N2"/>
    <mergeCell ref="B22:L24"/>
  </mergeCells>
  <conditionalFormatting sqref="D4:D20 N4:N20">
    <cfRule type="expression" dxfId="4" priority="1">
      <formula>$B$1="Please refer to Front Page"</formula>
    </cfRule>
  </conditionalFormatting>
  <dataValidations count="1">
    <dataValidation type="whole" allowBlank="1" showInputMessage="1" showErrorMessage="1" sqref="K4:L20" xr:uid="{A406DE51-B49F-4410-9A6D-0E77E3E551F0}">
      <formula1>0</formula1>
      <formula2>10000000000000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5AAAFFB-A989-459D-8CF9-2A99A7BCDAC7}">
          <x14:formula1>
            <xm:f>Lists!$L$1:$L$2</xm:f>
          </x14:formula1>
          <xm:sqref>A4:A20 H4:H20</xm:sqref>
        </x14:dataValidation>
        <x14:dataValidation type="list" allowBlank="1" showInputMessage="1" showErrorMessage="1" xr:uid="{040CB2EB-B054-4791-992B-C978664CA089}">
          <x14:formula1>
            <xm:f>Lists!$M$1:$M$4</xm:f>
          </x14:formula1>
          <xm:sqref>B4:B20 J4:J20</xm:sqref>
        </x14:dataValidation>
        <x14:dataValidation type="list" allowBlank="1" showInputMessage="1" showErrorMessage="1" xr:uid="{6C5A13C9-8FE0-409F-95ED-5F108F4142CA}">
          <x14:formula1>
            <xm:f>Lists!$B$1:$B$3</xm:f>
          </x14:formula1>
          <xm:sqref>I4:I20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932B-7196-46A3-B021-6FC8D456F531}">
  <sheetPr codeName="Sheet16">
    <tabColor theme="9" tint="0.39997558519241921"/>
  </sheetPr>
  <dimension ref="A1:P32"/>
  <sheetViews>
    <sheetView showGridLines="0" showRowColHeaders="0" workbookViewId="0">
      <selection activeCell="G4" sqref="G4"/>
    </sheetView>
  </sheetViews>
  <sheetFormatPr defaultColWidth="0" defaultRowHeight="21.5" zeroHeight="1" x14ac:dyDescent="0.35"/>
  <cols>
    <col min="1" max="1" width="3.453125" style="16" customWidth="1"/>
    <col min="2" max="4" width="20.453125" style="16" customWidth="1"/>
    <col min="5" max="5" width="26.1796875" style="16" customWidth="1"/>
    <col min="6" max="6" width="20.453125" style="16" customWidth="1"/>
    <col min="7" max="7" width="43.26953125" style="16" customWidth="1"/>
    <col min="8" max="10" width="0" style="16" hidden="1" customWidth="1"/>
    <col min="11" max="11" width="3.453125" style="16" customWidth="1"/>
    <col min="12" max="14" width="8.7265625" style="16" customWidth="1"/>
    <col min="15" max="15" width="33.453125" style="16" customWidth="1"/>
    <col min="16" max="16" width="8.7265625" style="16" customWidth="1"/>
    <col min="17" max="16384" width="8.7265625" style="16" hidden="1"/>
  </cols>
  <sheetData>
    <row r="1" spans="2:15" ht="14.5" customHeight="1" x14ac:dyDescent="0.35"/>
    <row r="2" spans="2:15" x14ac:dyDescent="0.35">
      <c r="B2" s="44" t="s">
        <v>80</v>
      </c>
      <c r="C2" s="185" t="str">
        <f>IF(Lists!W6="LOCKED","Please confirm your acceptance of the Terms of Use",SUM(G5:G23))</f>
        <v>Please confirm your acceptance of the Terms of Use</v>
      </c>
      <c r="D2" s="185"/>
      <c r="E2" s="185"/>
    </row>
    <row r="3" spans="2:15" ht="14.5" customHeight="1" thickBot="1" x14ac:dyDescent="0.4">
      <c r="C3" s="43"/>
    </row>
    <row r="4" spans="2:15" ht="89.15" customHeight="1" thickTop="1" x14ac:dyDescent="0.35">
      <c r="B4" s="46" t="s">
        <v>226</v>
      </c>
      <c r="C4" s="46" t="s">
        <v>227</v>
      </c>
      <c r="D4" s="46" t="s">
        <v>228</v>
      </c>
      <c r="E4" s="46" t="s">
        <v>229</v>
      </c>
      <c r="F4" s="46" t="s">
        <v>245</v>
      </c>
      <c r="G4" s="18" t="s">
        <v>13</v>
      </c>
      <c r="L4" s="148" t="s">
        <v>244</v>
      </c>
      <c r="M4" s="186"/>
      <c r="N4" s="186"/>
      <c r="O4" s="187"/>
    </row>
    <row r="5" spans="2:15" ht="22" customHeight="1" x14ac:dyDescent="0.35">
      <c r="B5" s="47"/>
      <c r="C5" s="47"/>
      <c r="D5" s="47"/>
      <c r="E5" s="47"/>
      <c r="F5" s="47"/>
      <c r="G5" s="45" t="str">
        <f>IF(F5="","",SUM(H5:J5))</f>
        <v/>
      </c>
      <c r="H5" s="16">
        <f>IF(C5="Yes",IF(F5&gt;110,B5*96,B5*96*0.8),0)</f>
        <v>0</v>
      </c>
      <c r="I5" s="16">
        <f>IF(D5="Yes",IF(F5&gt;110,B5*60,B5*60*0.8),0)</f>
        <v>0</v>
      </c>
      <c r="J5" s="16">
        <f>IF(E5="Yes",B5*150,0)</f>
        <v>0</v>
      </c>
      <c r="L5" s="188"/>
      <c r="M5" s="136"/>
      <c r="N5" s="136"/>
      <c r="O5" s="189"/>
    </row>
    <row r="6" spans="2:15" ht="22" customHeight="1" x14ac:dyDescent="0.35">
      <c r="B6" s="47"/>
      <c r="C6" s="47"/>
      <c r="D6" s="47"/>
      <c r="E6" s="47"/>
      <c r="F6" s="47"/>
      <c r="G6" s="45" t="str">
        <f t="shared" ref="G6:G22" si="0">IF(F6="","",SUM(H6:J6))</f>
        <v/>
      </c>
      <c r="H6" s="16">
        <f t="shared" ref="H6:H22" si="1">IF(C6="Yes",IF(F6&gt;110,B6*96,B6*96*0.8),0)</f>
        <v>0</v>
      </c>
      <c r="I6" s="16">
        <f t="shared" ref="I6:I22" si="2">IF(D6="Yes",IF(F6&gt;110,B6*60,B6*60*0.8),0)</f>
        <v>0</v>
      </c>
      <c r="J6" s="16">
        <f t="shared" ref="J6:J22" si="3">IF(E6="Yes",B6*150,0)</f>
        <v>0</v>
      </c>
      <c r="L6" s="188"/>
      <c r="M6" s="136"/>
      <c r="N6" s="136"/>
      <c r="O6" s="189"/>
    </row>
    <row r="7" spans="2:15" ht="22" customHeight="1" x14ac:dyDescent="0.35">
      <c r="B7" s="47"/>
      <c r="C7" s="47"/>
      <c r="D7" s="47"/>
      <c r="E7" s="47"/>
      <c r="F7" s="47"/>
      <c r="G7" s="45" t="str">
        <f t="shared" si="0"/>
        <v/>
      </c>
      <c r="H7" s="16">
        <f t="shared" si="1"/>
        <v>0</v>
      </c>
      <c r="I7" s="16">
        <f t="shared" si="2"/>
        <v>0</v>
      </c>
      <c r="J7" s="16">
        <f t="shared" si="3"/>
        <v>0</v>
      </c>
      <c r="L7" s="188"/>
      <c r="M7" s="136"/>
      <c r="N7" s="136"/>
      <c r="O7" s="189"/>
    </row>
    <row r="8" spans="2:15" ht="22" customHeight="1" x14ac:dyDescent="0.35">
      <c r="B8" s="47"/>
      <c r="C8" s="47"/>
      <c r="D8" s="47"/>
      <c r="E8" s="47"/>
      <c r="F8" s="47"/>
      <c r="G8" s="45" t="str">
        <f t="shared" si="0"/>
        <v/>
      </c>
      <c r="H8" s="16">
        <f t="shared" si="1"/>
        <v>0</v>
      </c>
      <c r="I8" s="16">
        <f t="shared" si="2"/>
        <v>0</v>
      </c>
      <c r="J8" s="16">
        <f t="shared" si="3"/>
        <v>0</v>
      </c>
      <c r="L8" s="188"/>
      <c r="M8" s="136"/>
      <c r="N8" s="136"/>
      <c r="O8" s="189"/>
    </row>
    <row r="9" spans="2:15" ht="22" customHeight="1" x14ac:dyDescent="0.35">
      <c r="B9" s="47"/>
      <c r="C9" s="47"/>
      <c r="D9" s="47"/>
      <c r="E9" s="47"/>
      <c r="F9" s="47"/>
      <c r="G9" s="45" t="str">
        <f t="shared" si="0"/>
        <v/>
      </c>
      <c r="H9" s="16">
        <f t="shared" si="1"/>
        <v>0</v>
      </c>
      <c r="I9" s="16">
        <f t="shared" si="2"/>
        <v>0</v>
      </c>
      <c r="J9" s="16">
        <f t="shared" si="3"/>
        <v>0</v>
      </c>
      <c r="L9" s="188"/>
      <c r="M9" s="136"/>
      <c r="N9" s="136"/>
      <c r="O9" s="189"/>
    </row>
    <row r="10" spans="2:15" ht="22" customHeight="1" x14ac:dyDescent="0.35">
      <c r="B10" s="47"/>
      <c r="C10" s="47"/>
      <c r="D10" s="47"/>
      <c r="E10" s="47"/>
      <c r="F10" s="47"/>
      <c r="G10" s="45" t="str">
        <f t="shared" si="0"/>
        <v/>
      </c>
      <c r="H10" s="16">
        <f t="shared" si="1"/>
        <v>0</v>
      </c>
      <c r="I10" s="16">
        <f t="shared" si="2"/>
        <v>0</v>
      </c>
      <c r="J10" s="16">
        <f t="shared" si="3"/>
        <v>0</v>
      </c>
      <c r="L10" s="188"/>
      <c r="M10" s="136"/>
      <c r="N10" s="136"/>
      <c r="O10" s="189"/>
    </row>
    <row r="11" spans="2:15" ht="22" customHeight="1" x14ac:dyDescent="0.35">
      <c r="B11" s="47"/>
      <c r="C11" s="47"/>
      <c r="D11" s="47"/>
      <c r="E11" s="47"/>
      <c r="F11" s="47"/>
      <c r="G11" s="45" t="str">
        <f t="shared" si="0"/>
        <v/>
      </c>
      <c r="H11" s="16">
        <f t="shared" si="1"/>
        <v>0</v>
      </c>
      <c r="I11" s="16">
        <f t="shared" si="2"/>
        <v>0</v>
      </c>
      <c r="J11" s="16">
        <f t="shared" si="3"/>
        <v>0</v>
      </c>
      <c r="L11" s="188"/>
      <c r="M11" s="136"/>
      <c r="N11" s="136"/>
      <c r="O11" s="189"/>
    </row>
    <row r="12" spans="2:15" ht="22" customHeight="1" x14ac:dyDescent="0.35">
      <c r="B12" s="47"/>
      <c r="C12" s="47"/>
      <c r="D12" s="47"/>
      <c r="E12" s="47"/>
      <c r="F12" s="47"/>
      <c r="G12" s="45" t="str">
        <f t="shared" si="0"/>
        <v/>
      </c>
      <c r="H12" s="16">
        <f t="shared" si="1"/>
        <v>0</v>
      </c>
      <c r="I12" s="16">
        <f t="shared" si="2"/>
        <v>0</v>
      </c>
      <c r="J12" s="16">
        <f t="shared" si="3"/>
        <v>0</v>
      </c>
      <c r="L12" s="188"/>
      <c r="M12" s="136"/>
      <c r="N12" s="136"/>
      <c r="O12" s="189"/>
    </row>
    <row r="13" spans="2:15" ht="22" customHeight="1" x14ac:dyDescent="0.35">
      <c r="B13" s="47"/>
      <c r="C13" s="47"/>
      <c r="D13" s="47"/>
      <c r="E13" s="47"/>
      <c r="F13" s="47"/>
      <c r="G13" s="45" t="str">
        <f t="shared" si="0"/>
        <v/>
      </c>
      <c r="H13" s="16">
        <f t="shared" si="1"/>
        <v>0</v>
      </c>
      <c r="I13" s="16">
        <f t="shared" si="2"/>
        <v>0</v>
      </c>
      <c r="J13" s="16">
        <f t="shared" si="3"/>
        <v>0</v>
      </c>
      <c r="L13" s="188"/>
      <c r="M13" s="136"/>
      <c r="N13" s="136"/>
      <c r="O13" s="189"/>
    </row>
    <row r="14" spans="2:15" ht="22" customHeight="1" x14ac:dyDescent="0.35">
      <c r="B14" s="47"/>
      <c r="C14" s="47"/>
      <c r="D14" s="47"/>
      <c r="E14" s="47"/>
      <c r="F14" s="47"/>
      <c r="G14" s="45" t="str">
        <f t="shared" si="0"/>
        <v/>
      </c>
      <c r="H14" s="16">
        <f t="shared" si="1"/>
        <v>0</v>
      </c>
      <c r="I14" s="16">
        <f t="shared" si="2"/>
        <v>0</v>
      </c>
      <c r="J14" s="16">
        <f t="shared" si="3"/>
        <v>0</v>
      </c>
      <c r="L14" s="188"/>
      <c r="M14" s="136"/>
      <c r="N14" s="136"/>
      <c r="O14" s="189"/>
    </row>
    <row r="15" spans="2:15" ht="22" customHeight="1" x14ac:dyDescent="0.35">
      <c r="B15" s="47"/>
      <c r="C15" s="47"/>
      <c r="D15" s="47"/>
      <c r="E15" s="47"/>
      <c r="F15" s="47"/>
      <c r="G15" s="45" t="str">
        <f t="shared" si="0"/>
        <v/>
      </c>
      <c r="H15" s="16">
        <f t="shared" si="1"/>
        <v>0</v>
      </c>
      <c r="I15" s="16">
        <f t="shared" si="2"/>
        <v>0</v>
      </c>
      <c r="J15" s="16">
        <f t="shared" si="3"/>
        <v>0</v>
      </c>
      <c r="L15" s="188"/>
      <c r="M15" s="136"/>
      <c r="N15" s="136"/>
      <c r="O15" s="189"/>
    </row>
    <row r="16" spans="2:15" ht="22" customHeight="1" x14ac:dyDescent="0.35">
      <c r="B16" s="47"/>
      <c r="C16" s="47"/>
      <c r="D16" s="47"/>
      <c r="E16" s="47"/>
      <c r="F16" s="47"/>
      <c r="G16" s="45" t="str">
        <f t="shared" si="0"/>
        <v/>
      </c>
      <c r="H16" s="16">
        <f t="shared" si="1"/>
        <v>0</v>
      </c>
      <c r="I16" s="16">
        <f t="shared" si="2"/>
        <v>0</v>
      </c>
      <c r="J16" s="16">
        <f t="shared" si="3"/>
        <v>0</v>
      </c>
      <c r="L16" s="188"/>
      <c r="M16" s="136"/>
      <c r="N16" s="136"/>
      <c r="O16" s="189"/>
    </row>
    <row r="17" spans="2:16" ht="22" customHeight="1" x14ac:dyDescent="0.35">
      <c r="B17" s="47"/>
      <c r="C17" s="47"/>
      <c r="D17" s="47"/>
      <c r="E17" s="47"/>
      <c r="F17" s="47"/>
      <c r="G17" s="45" t="str">
        <f t="shared" si="0"/>
        <v/>
      </c>
      <c r="H17" s="16">
        <f t="shared" si="1"/>
        <v>0</v>
      </c>
      <c r="I17" s="16">
        <f t="shared" si="2"/>
        <v>0</v>
      </c>
      <c r="J17" s="16">
        <f t="shared" si="3"/>
        <v>0</v>
      </c>
      <c r="L17" s="188"/>
      <c r="M17" s="136"/>
      <c r="N17" s="136"/>
      <c r="O17" s="189"/>
    </row>
    <row r="18" spans="2:16" ht="22" customHeight="1" x14ac:dyDescent="0.35">
      <c r="B18" s="47"/>
      <c r="C18" s="47"/>
      <c r="D18" s="47"/>
      <c r="E18" s="47"/>
      <c r="F18" s="47"/>
      <c r="G18" s="45" t="str">
        <f t="shared" si="0"/>
        <v/>
      </c>
      <c r="H18" s="16">
        <f t="shared" si="1"/>
        <v>0</v>
      </c>
      <c r="I18" s="16">
        <f t="shared" si="2"/>
        <v>0</v>
      </c>
      <c r="J18" s="16">
        <f t="shared" si="3"/>
        <v>0</v>
      </c>
      <c r="L18" s="188"/>
      <c r="M18" s="136"/>
      <c r="N18" s="136"/>
      <c r="O18" s="189"/>
    </row>
    <row r="19" spans="2:16" ht="22" customHeight="1" x14ac:dyDescent="0.35">
      <c r="B19" s="47"/>
      <c r="C19" s="47"/>
      <c r="D19" s="47"/>
      <c r="E19" s="47"/>
      <c r="F19" s="47"/>
      <c r="G19" s="45" t="str">
        <f t="shared" si="0"/>
        <v/>
      </c>
      <c r="H19" s="16">
        <f t="shared" si="1"/>
        <v>0</v>
      </c>
      <c r="I19" s="16">
        <f t="shared" si="2"/>
        <v>0</v>
      </c>
      <c r="J19" s="16">
        <f t="shared" si="3"/>
        <v>0</v>
      </c>
      <c r="L19" s="190" t="s">
        <v>191</v>
      </c>
      <c r="M19" s="191"/>
      <c r="N19" s="191"/>
      <c r="O19" s="192"/>
    </row>
    <row r="20" spans="2:16" ht="22" customHeight="1" x14ac:dyDescent="0.35">
      <c r="B20" s="47"/>
      <c r="C20" s="47"/>
      <c r="D20" s="47"/>
      <c r="E20" s="47"/>
      <c r="F20" s="47"/>
      <c r="G20" s="45" t="str">
        <f t="shared" si="0"/>
        <v/>
      </c>
      <c r="H20" s="16">
        <f t="shared" si="1"/>
        <v>0</v>
      </c>
      <c r="I20" s="16">
        <f t="shared" si="2"/>
        <v>0</v>
      </c>
      <c r="J20" s="16">
        <f t="shared" si="3"/>
        <v>0</v>
      </c>
      <c r="L20" s="190"/>
      <c r="M20" s="191"/>
      <c r="N20" s="191"/>
      <c r="O20" s="192"/>
    </row>
    <row r="21" spans="2:16" ht="22" customHeight="1" x14ac:dyDescent="0.35">
      <c r="B21" s="47"/>
      <c r="C21" s="47"/>
      <c r="D21" s="47"/>
      <c r="E21" s="47"/>
      <c r="F21" s="47"/>
      <c r="G21" s="45" t="str">
        <f t="shared" si="0"/>
        <v/>
      </c>
      <c r="H21" s="16">
        <f t="shared" si="1"/>
        <v>0</v>
      </c>
      <c r="I21" s="16">
        <f t="shared" si="2"/>
        <v>0</v>
      </c>
      <c r="J21" s="16">
        <f t="shared" si="3"/>
        <v>0</v>
      </c>
      <c r="L21" s="190"/>
      <c r="M21" s="191"/>
      <c r="N21" s="191"/>
      <c r="O21" s="192"/>
    </row>
    <row r="22" spans="2:16" ht="22" customHeight="1" thickBot="1" x14ac:dyDescent="0.4">
      <c r="B22" s="47"/>
      <c r="C22" s="47"/>
      <c r="D22" s="47"/>
      <c r="E22" s="47"/>
      <c r="F22" s="47"/>
      <c r="G22" s="45" t="str">
        <f t="shared" si="0"/>
        <v/>
      </c>
      <c r="H22" s="16">
        <f t="shared" si="1"/>
        <v>0</v>
      </c>
      <c r="I22" s="16">
        <f t="shared" si="2"/>
        <v>0</v>
      </c>
      <c r="J22" s="16">
        <f t="shared" si="3"/>
        <v>0</v>
      </c>
      <c r="L22" s="193"/>
      <c r="M22" s="194"/>
      <c r="N22" s="194"/>
      <c r="O22" s="195"/>
      <c r="P22" s="17"/>
    </row>
    <row r="23" spans="2:16" ht="22" thickTop="1" x14ac:dyDescent="0.35"/>
    <row r="24" spans="2:16" ht="21.75" hidden="1" customHeight="1" x14ac:dyDescent="0.35">
      <c r="B24" s="41"/>
      <c r="C24" s="41"/>
      <c r="D24" s="41"/>
      <c r="E24" s="41"/>
      <c r="F24" s="41"/>
      <c r="G24" s="41"/>
    </row>
    <row r="25" spans="2:16" ht="21.75" hidden="1" customHeight="1" x14ac:dyDescent="0.35">
      <c r="B25" s="41"/>
      <c r="C25" s="41"/>
      <c r="D25" s="41"/>
      <c r="E25" s="41"/>
      <c r="F25" s="41"/>
      <c r="G25" s="41"/>
    </row>
    <row r="26" spans="2:16" ht="21.75" hidden="1" customHeight="1" x14ac:dyDescent="0.35">
      <c r="B26" s="41"/>
      <c r="C26" s="41"/>
      <c r="D26" s="41"/>
      <c r="E26" s="41"/>
      <c r="F26" s="41"/>
      <c r="G26" s="41"/>
    </row>
    <row r="27" spans="2:16" ht="21.65" hidden="1" customHeight="1" x14ac:dyDescent="0.35">
      <c r="B27" s="41"/>
      <c r="C27" s="41"/>
      <c r="D27" s="41"/>
      <c r="E27" s="41"/>
      <c r="F27" s="41"/>
      <c r="G27" s="41"/>
    </row>
    <row r="28" spans="2:16" ht="21.65" hidden="1" customHeight="1" x14ac:dyDescent="0.35">
      <c r="B28" s="41"/>
      <c r="C28" s="41"/>
      <c r="D28" s="41"/>
      <c r="E28" s="41"/>
      <c r="F28" s="41"/>
      <c r="G28" s="41"/>
    </row>
    <row r="29" spans="2:16" ht="21.65" hidden="1" customHeight="1" x14ac:dyDescent="0.35">
      <c r="B29" s="41"/>
      <c r="C29" s="41"/>
      <c r="D29" s="41"/>
      <c r="E29" s="41"/>
      <c r="F29" s="41"/>
      <c r="G29" s="41"/>
    </row>
    <row r="31" spans="2:16" hidden="1" x14ac:dyDescent="0.35">
      <c r="C31" s="48"/>
      <c r="D31" s="48"/>
      <c r="E31" s="48"/>
    </row>
    <row r="32" spans="2:16" hidden="1" x14ac:dyDescent="0.35">
      <c r="C32" s="48"/>
      <c r="D32" s="48"/>
      <c r="E32" s="48"/>
    </row>
  </sheetData>
  <sheetProtection algorithmName="SHA-512" hashValue="F1A2Z2jDDQSZvfWRe4Ar/5EYXGZ4jlpWiyMGKXvwERHfBFVJ+5Y065ER+nvxE3hjUlEvaqasS2DFSp8HrFI+jA==" saltValue="2LPkiu1coo+J+hCY5u0a5A==" spinCount="100000" sheet="1" objects="1" scenarios="1"/>
  <mergeCells count="3">
    <mergeCell ref="C2:E2"/>
    <mergeCell ref="L4:O18"/>
    <mergeCell ref="L19:O22"/>
  </mergeCells>
  <conditionalFormatting sqref="G5:G22">
    <cfRule type="expression" dxfId="3" priority="1">
      <formula>$C$2="Please confirm your acceptance of the Terms of Use"</formula>
    </cfRule>
    <cfRule type="expression" dxfId="2" priority="2">
      <formula>$C$2="Please refer to Front Page"</formula>
    </cfRule>
  </conditionalFormatting>
  <dataValidations count="2">
    <dataValidation type="whole" allowBlank="1" showInputMessage="1" showErrorMessage="1" sqref="B5:B22" xr:uid="{C846D93D-DD26-4D03-9BBB-B1CC6628F02C}">
      <formula1>0</formula1>
      <formula2>1000000000</formula2>
    </dataValidation>
    <dataValidation type="whole" allowBlank="1" showInputMessage="1" showErrorMessage="1" sqref="F5:F22" xr:uid="{AAE2FCE3-E7E3-4BD1-9C89-3412A0A5976D}">
      <formula1>0</formula1>
      <formula2>1000000000000</formula2>
    </dataValidation>
  </dataValidations>
  <hyperlinks>
    <hyperlink ref="L19:O22" r:id="rId1" display="You can find more information on infrastructure charges and environmental incentives here. " xr:uid="{43A24F1E-72C8-41CD-A1BF-CA9000FCA84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7DEBA15E-4617-4DB3-8C0E-FD3BE8EB2C8D}">
          <x14:formula1>
            <xm:f>Lists!$D$1:$D$2</xm:f>
          </x14:formula1>
          <xm:sqref>C5:E22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552E-6DA4-4BDB-9041-2CF86C90A245}">
  <sheetPr codeName="Sheet17">
    <tabColor theme="9" tint="0.39997558519241921"/>
  </sheetPr>
  <dimension ref="A1:P23"/>
  <sheetViews>
    <sheetView showGridLines="0" showRowColHeaders="0" topLeftCell="F1" workbookViewId="0">
      <selection activeCell="P10" sqref="P10"/>
    </sheetView>
  </sheetViews>
  <sheetFormatPr defaultColWidth="0" defaultRowHeight="21.5" zeroHeight="1" x14ac:dyDescent="0.35"/>
  <cols>
    <col min="1" max="1" width="3.453125" style="16" customWidth="1"/>
    <col min="2" max="6" width="20.453125" style="16" customWidth="1"/>
    <col min="7" max="7" width="51.1796875" style="16" customWidth="1"/>
    <col min="8" max="8" width="8.26953125" style="16" hidden="1" customWidth="1"/>
    <col min="9" max="9" width="11" style="16" hidden="1" customWidth="1"/>
    <col min="10" max="10" width="15.1796875" style="16" hidden="1" customWidth="1"/>
    <col min="11" max="11" width="3.453125" style="16" customWidth="1"/>
    <col min="12" max="14" width="8.7265625" style="16" customWidth="1"/>
    <col min="15" max="15" width="45.7265625" style="16" customWidth="1"/>
    <col min="16" max="16" width="8.7265625" style="16" customWidth="1"/>
    <col min="17" max="16384" width="8.7265625" style="16" hidden="1"/>
  </cols>
  <sheetData>
    <row r="1" spans="2:15" ht="14.5" customHeight="1" x14ac:dyDescent="0.35"/>
    <row r="2" spans="2:15" x14ac:dyDescent="0.35">
      <c r="B2" s="44" t="s">
        <v>80</v>
      </c>
      <c r="C2" s="185" t="str">
        <f>IF(Lists!W6="LOCKED","Please confirm your acceptance of the Terms of Use",SUM(G5:G23))</f>
        <v>Please confirm your acceptance of the Terms of Use</v>
      </c>
      <c r="D2" s="185"/>
      <c r="E2" s="185"/>
      <c r="F2" s="185"/>
      <c r="G2" s="185"/>
    </row>
    <row r="3" spans="2:15" ht="14.5" customHeight="1" thickBot="1" x14ac:dyDescent="0.4">
      <c r="C3" s="43"/>
    </row>
    <row r="4" spans="2:15" ht="87.75" customHeight="1" x14ac:dyDescent="0.35">
      <c r="B4" s="46" t="s">
        <v>226</v>
      </c>
      <c r="C4" s="46" t="s">
        <v>227</v>
      </c>
      <c r="D4" s="46" t="s">
        <v>228</v>
      </c>
      <c r="E4" s="46" t="s">
        <v>229</v>
      </c>
      <c r="F4" s="46" t="s">
        <v>230</v>
      </c>
      <c r="G4" s="18" t="s">
        <v>13</v>
      </c>
      <c r="L4" s="132" t="s">
        <v>246</v>
      </c>
      <c r="M4" s="133"/>
      <c r="N4" s="133"/>
      <c r="O4" s="134"/>
    </row>
    <row r="5" spans="2:15" ht="22" customHeight="1" x14ac:dyDescent="0.35">
      <c r="B5" s="47"/>
      <c r="C5" s="47"/>
      <c r="D5" s="47"/>
      <c r="E5" s="47"/>
      <c r="F5" s="47"/>
      <c r="G5" s="45" t="str">
        <f>IF(F5="","",SUM(H5:J5))</f>
        <v/>
      </c>
      <c r="H5" s="49">
        <f>IF(C5="Yes",((ROUND((F5/24),2)*96)*B5),0)</f>
        <v>0</v>
      </c>
      <c r="I5" s="16">
        <f>IF(D5="Yes",(((ROUND((F5/24),2)*60)*B5)),0)</f>
        <v>0</v>
      </c>
      <c r="J5" s="16">
        <f>IF(E5="Yes",B5*150,0)</f>
        <v>0</v>
      </c>
      <c r="L5" s="135"/>
      <c r="M5" s="136"/>
      <c r="N5" s="136"/>
      <c r="O5" s="137"/>
    </row>
    <row r="6" spans="2:15" ht="22" customHeight="1" x14ac:dyDescent="0.35">
      <c r="B6" s="47"/>
      <c r="C6" s="47"/>
      <c r="D6" s="47"/>
      <c r="E6" s="47"/>
      <c r="F6" s="47"/>
      <c r="G6" s="45" t="str">
        <f t="shared" ref="G6:G22" si="0">IF(F6="","",SUM(H6:J6))</f>
        <v/>
      </c>
      <c r="H6" s="49">
        <f t="shared" ref="H6:H22" si="1">IF(C6="Yes",((ROUND((F6/24),2)*96)*B6),0)</f>
        <v>0</v>
      </c>
      <c r="I6" s="16">
        <f t="shared" ref="I6:I22" si="2">IF(D6="Yes",(((ROUND((F6/24),2)*60)*B6)),0)</f>
        <v>0</v>
      </c>
      <c r="J6" s="16">
        <f t="shared" ref="J6:J22" si="3">IF(E6="Yes",B6*150,0)</f>
        <v>0</v>
      </c>
      <c r="L6" s="135"/>
      <c r="M6" s="136"/>
      <c r="N6" s="136"/>
      <c r="O6" s="137"/>
    </row>
    <row r="7" spans="2:15" ht="22" customHeight="1" x14ac:dyDescent="0.35">
      <c r="B7" s="47"/>
      <c r="C7" s="47"/>
      <c r="D7" s="47"/>
      <c r="E7" s="47"/>
      <c r="F7" s="47"/>
      <c r="G7" s="45" t="str">
        <f t="shared" si="0"/>
        <v/>
      </c>
      <c r="H7" s="49">
        <f t="shared" si="1"/>
        <v>0</v>
      </c>
      <c r="I7" s="16">
        <f t="shared" si="2"/>
        <v>0</v>
      </c>
      <c r="J7" s="16">
        <f t="shared" si="3"/>
        <v>0</v>
      </c>
      <c r="L7" s="135"/>
      <c r="M7" s="136"/>
      <c r="N7" s="136"/>
      <c r="O7" s="137"/>
    </row>
    <row r="8" spans="2:15" ht="22" customHeight="1" x14ac:dyDescent="0.35">
      <c r="B8" s="47"/>
      <c r="C8" s="47"/>
      <c r="D8" s="47"/>
      <c r="E8" s="47"/>
      <c r="F8" s="47"/>
      <c r="G8" s="45" t="str">
        <f t="shared" si="0"/>
        <v/>
      </c>
      <c r="H8" s="49">
        <f t="shared" si="1"/>
        <v>0</v>
      </c>
      <c r="I8" s="16">
        <f t="shared" si="2"/>
        <v>0</v>
      </c>
      <c r="J8" s="16">
        <f t="shared" si="3"/>
        <v>0</v>
      </c>
      <c r="L8" s="135"/>
      <c r="M8" s="136"/>
      <c r="N8" s="136"/>
      <c r="O8" s="137"/>
    </row>
    <row r="9" spans="2:15" ht="22" customHeight="1" x14ac:dyDescent="0.35">
      <c r="B9" s="47"/>
      <c r="C9" s="47"/>
      <c r="D9" s="47"/>
      <c r="E9" s="47"/>
      <c r="F9" s="47"/>
      <c r="G9" s="45" t="str">
        <f t="shared" si="0"/>
        <v/>
      </c>
      <c r="H9" s="49">
        <f t="shared" si="1"/>
        <v>0</v>
      </c>
      <c r="I9" s="16">
        <f t="shared" si="2"/>
        <v>0</v>
      </c>
      <c r="J9" s="16">
        <f t="shared" si="3"/>
        <v>0</v>
      </c>
      <c r="L9" s="135"/>
      <c r="M9" s="136"/>
      <c r="N9" s="136"/>
      <c r="O9" s="137"/>
    </row>
    <row r="10" spans="2:15" ht="22" customHeight="1" x14ac:dyDescent="0.35">
      <c r="B10" s="47"/>
      <c r="C10" s="47"/>
      <c r="D10" s="47"/>
      <c r="E10" s="47"/>
      <c r="F10" s="47"/>
      <c r="G10" s="45" t="str">
        <f t="shared" si="0"/>
        <v/>
      </c>
      <c r="H10" s="49">
        <f t="shared" si="1"/>
        <v>0</v>
      </c>
      <c r="I10" s="16">
        <f t="shared" si="2"/>
        <v>0</v>
      </c>
      <c r="J10" s="16">
        <f t="shared" si="3"/>
        <v>0</v>
      </c>
      <c r="L10" s="135"/>
      <c r="M10" s="136"/>
      <c r="N10" s="136"/>
      <c r="O10" s="137"/>
    </row>
    <row r="11" spans="2:15" ht="22" customHeight="1" x14ac:dyDescent="0.35">
      <c r="B11" s="47"/>
      <c r="C11" s="47"/>
      <c r="D11" s="47"/>
      <c r="E11" s="47"/>
      <c r="F11" s="47"/>
      <c r="G11" s="45" t="str">
        <f t="shared" si="0"/>
        <v/>
      </c>
      <c r="H11" s="49">
        <f t="shared" si="1"/>
        <v>0</v>
      </c>
      <c r="I11" s="16">
        <f t="shared" si="2"/>
        <v>0</v>
      </c>
      <c r="J11" s="16">
        <f t="shared" si="3"/>
        <v>0</v>
      </c>
      <c r="L11" s="135"/>
      <c r="M11" s="136"/>
      <c r="N11" s="136"/>
      <c r="O11" s="137"/>
    </row>
    <row r="12" spans="2:15" ht="22" customHeight="1" x14ac:dyDescent="0.35">
      <c r="B12" s="47"/>
      <c r="C12" s="47"/>
      <c r="D12" s="47"/>
      <c r="E12" s="47"/>
      <c r="F12" s="47"/>
      <c r="G12" s="45" t="str">
        <f t="shared" si="0"/>
        <v/>
      </c>
      <c r="H12" s="49">
        <f t="shared" si="1"/>
        <v>0</v>
      </c>
      <c r="I12" s="16">
        <f t="shared" si="2"/>
        <v>0</v>
      </c>
      <c r="J12" s="16">
        <f t="shared" si="3"/>
        <v>0</v>
      </c>
      <c r="L12" s="135"/>
      <c r="M12" s="136"/>
      <c r="N12" s="136"/>
      <c r="O12" s="137"/>
    </row>
    <row r="13" spans="2:15" ht="22" customHeight="1" x14ac:dyDescent="0.35">
      <c r="B13" s="47"/>
      <c r="C13" s="47"/>
      <c r="D13" s="47"/>
      <c r="E13" s="47"/>
      <c r="F13" s="47"/>
      <c r="G13" s="45" t="str">
        <f t="shared" si="0"/>
        <v/>
      </c>
      <c r="H13" s="49">
        <f t="shared" si="1"/>
        <v>0</v>
      </c>
      <c r="I13" s="16">
        <f t="shared" si="2"/>
        <v>0</v>
      </c>
      <c r="J13" s="16">
        <f t="shared" si="3"/>
        <v>0</v>
      </c>
      <c r="L13" s="135"/>
      <c r="M13" s="136"/>
      <c r="N13" s="136"/>
      <c r="O13" s="137"/>
    </row>
    <row r="14" spans="2:15" ht="22" customHeight="1" x14ac:dyDescent="0.35">
      <c r="B14" s="47"/>
      <c r="C14" s="47"/>
      <c r="D14" s="47"/>
      <c r="E14" s="47"/>
      <c r="F14" s="47"/>
      <c r="G14" s="45" t="str">
        <f t="shared" si="0"/>
        <v/>
      </c>
      <c r="H14" s="49">
        <f t="shared" si="1"/>
        <v>0</v>
      </c>
      <c r="I14" s="16">
        <f t="shared" si="2"/>
        <v>0</v>
      </c>
      <c r="J14" s="16">
        <f t="shared" si="3"/>
        <v>0</v>
      </c>
      <c r="L14" s="135"/>
      <c r="M14" s="136"/>
      <c r="N14" s="136"/>
      <c r="O14" s="137"/>
    </row>
    <row r="15" spans="2:15" ht="22" customHeight="1" x14ac:dyDescent="0.35">
      <c r="B15" s="47"/>
      <c r="C15" s="47"/>
      <c r="D15" s="47"/>
      <c r="E15" s="47"/>
      <c r="F15" s="47"/>
      <c r="G15" s="45" t="str">
        <f t="shared" si="0"/>
        <v/>
      </c>
      <c r="H15" s="49">
        <f t="shared" si="1"/>
        <v>0</v>
      </c>
      <c r="I15" s="16">
        <f t="shared" si="2"/>
        <v>0</v>
      </c>
      <c r="J15" s="16">
        <f t="shared" si="3"/>
        <v>0</v>
      </c>
      <c r="L15" s="135"/>
      <c r="M15" s="136"/>
      <c r="N15" s="136"/>
      <c r="O15" s="137"/>
    </row>
    <row r="16" spans="2:15" ht="22" customHeight="1" x14ac:dyDescent="0.35">
      <c r="B16" s="47"/>
      <c r="C16" s="47"/>
      <c r="D16" s="47"/>
      <c r="E16" s="47"/>
      <c r="F16" s="47"/>
      <c r="G16" s="45" t="str">
        <f t="shared" si="0"/>
        <v/>
      </c>
      <c r="H16" s="49">
        <f t="shared" si="1"/>
        <v>0</v>
      </c>
      <c r="I16" s="16">
        <f t="shared" si="2"/>
        <v>0</v>
      </c>
      <c r="J16" s="16">
        <f t="shared" si="3"/>
        <v>0</v>
      </c>
      <c r="L16" s="135"/>
      <c r="M16" s="136"/>
      <c r="N16" s="136"/>
      <c r="O16" s="137"/>
    </row>
    <row r="17" spans="2:15" ht="22" customHeight="1" x14ac:dyDescent="0.35">
      <c r="B17" s="47"/>
      <c r="C17" s="47"/>
      <c r="D17" s="47"/>
      <c r="E17" s="47"/>
      <c r="F17" s="47"/>
      <c r="G17" s="45" t="str">
        <f t="shared" si="0"/>
        <v/>
      </c>
      <c r="H17" s="49">
        <f t="shared" si="1"/>
        <v>0</v>
      </c>
      <c r="I17" s="16">
        <f t="shared" si="2"/>
        <v>0</v>
      </c>
      <c r="J17" s="16">
        <f t="shared" si="3"/>
        <v>0</v>
      </c>
      <c r="L17" s="196" t="s">
        <v>191</v>
      </c>
      <c r="M17" s="191"/>
      <c r="N17" s="191"/>
      <c r="O17" s="197"/>
    </row>
    <row r="18" spans="2:15" ht="22" customHeight="1" x14ac:dyDescent="0.35">
      <c r="B18" s="47"/>
      <c r="C18" s="47"/>
      <c r="D18" s="47"/>
      <c r="E18" s="47"/>
      <c r="F18" s="47"/>
      <c r="G18" s="45" t="str">
        <f t="shared" si="0"/>
        <v/>
      </c>
      <c r="H18" s="49">
        <f t="shared" si="1"/>
        <v>0</v>
      </c>
      <c r="I18" s="16">
        <f t="shared" si="2"/>
        <v>0</v>
      </c>
      <c r="J18" s="16">
        <f t="shared" si="3"/>
        <v>0</v>
      </c>
      <c r="L18" s="196"/>
      <c r="M18" s="191"/>
      <c r="N18" s="191"/>
      <c r="O18" s="197"/>
    </row>
    <row r="19" spans="2:15" ht="22" customHeight="1" x14ac:dyDescent="0.35">
      <c r="B19" s="47"/>
      <c r="C19" s="47"/>
      <c r="D19" s="47"/>
      <c r="E19" s="47"/>
      <c r="F19" s="47"/>
      <c r="G19" s="45" t="str">
        <f t="shared" si="0"/>
        <v/>
      </c>
      <c r="H19" s="49">
        <f t="shared" si="1"/>
        <v>0</v>
      </c>
      <c r="I19" s="16">
        <f t="shared" si="2"/>
        <v>0</v>
      </c>
      <c r="J19" s="16">
        <f t="shared" si="3"/>
        <v>0</v>
      </c>
      <c r="L19" s="196"/>
      <c r="M19" s="191"/>
      <c r="N19" s="191"/>
      <c r="O19" s="197"/>
    </row>
    <row r="20" spans="2:15" ht="22" customHeight="1" thickBot="1" x14ac:dyDescent="0.4">
      <c r="B20" s="47"/>
      <c r="C20" s="47"/>
      <c r="D20" s="47"/>
      <c r="E20" s="47"/>
      <c r="F20" s="47"/>
      <c r="G20" s="45" t="str">
        <f t="shared" si="0"/>
        <v/>
      </c>
      <c r="H20" s="49">
        <f t="shared" si="1"/>
        <v>0</v>
      </c>
      <c r="I20" s="16">
        <f t="shared" si="2"/>
        <v>0</v>
      </c>
      <c r="J20" s="16">
        <f t="shared" si="3"/>
        <v>0</v>
      </c>
      <c r="L20" s="198"/>
      <c r="M20" s="199"/>
      <c r="N20" s="199"/>
      <c r="O20" s="200"/>
    </row>
    <row r="21" spans="2:15" ht="22" customHeight="1" x14ac:dyDescent="0.35">
      <c r="B21" s="47"/>
      <c r="C21" s="47"/>
      <c r="D21" s="47"/>
      <c r="E21" s="47"/>
      <c r="F21" s="47"/>
      <c r="G21" s="45" t="str">
        <f t="shared" si="0"/>
        <v/>
      </c>
      <c r="H21" s="49">
        <f t="shared" si="1"/>
        <v>0</v>
      </c>
      <c r="I21" s="16">
        <f t="shared" si="2"/>
        <v>0</v>
      </c>
      <c r="J21" s="16">
        <f t="shared" si="3"/>
        <v>0</v>
      </c>
      <c r="L21" s="191"/>
      <c r="M21" s="191"/>
      <c r="N21" s="191"/>
      <c r="O21" s="191"/>
    </row>
    <row r="22" spans="2:15" ht="22" customHeight="1" x14ac:dyDescent="0.35">
      <c r="B22" s="47"/>
      <c r="C22" s="47"/>
      <c r="D22" s="47"/>
      <c r="E22" s="47"/>
      <c r="F22" s="47"/>
      <c r="G22" s="45" t="str">
        <f t="shared" si="0"/>
        <v/>
      </c>
      <c r="H22" s="49">
        <f t="shared" si="1"/>
        <v>0</v>
      </c>
      <c r="I22" s="16">
        <f t="shared" si="2"/>
        <v>0</v>
      </c>
      <c r="J22" s="16">
        <f t="shared" si="3"/>
        <v>0</v>
      </c>
      <c r="L22" s="191"/>
      <c r="M22" s="191"/>
      <c r="N22" s="191"/>
      <c r="O22" s="191"/>
    </row>
    <row r="23" spans="2:15" x14ac:dyDescent="0.35"/>
  </sheetData>
  <sheetProtection algorithmName="SHA-512" hashValue="bxPWivpytS8X3qdcoarPhFq4tEdXtKlno444dZtpcJZtDSw0D10iQDRME3wDuX/0rzioyah4V1QpaEvui6lKdQ==" saltValue="3U0lFmS0ZeQO2oXY4lCDsw==" spinCount="100000" sheet="1" objects="1" scenarios="1"/>
  <mergeCells count="4">
    <mergeCell ref="C2:G2"/>
    <mergeCell ref="L4:O16"/>
    <mergeCell ref="L17:O20"/>
    <mergeCell ref="L21:O22"/>
  </mergeCells>
  <conditionalFormatting sqref="G5:G22">
    <cfRule type="expression" dxfId="1" priority="1">
      <formula>$C$2="Please confirm your acceptance of the Terms of Use"</formula>
    </cfRule>
    <cfRule type="expression" dxfId="0" priority="2">
      <formula>$C$2="Please refer to Front Page"</formula>
    </cfRule>
  </conditionalFormatting>
  <dataValidations count="2">
    <dataValidation type="whole" allowBlank="1" showInputMessage="1" showErrorMessage="1" sqref="F5:F22" xr:uid="{EAF44D06-E72B-4A95-80B7-0C9257A66B7F}">
      <formula1>0</formula1>
      <formula2>1000000000000</formula2>
    </dataValidation>
    <dataValidation type="whole" allowBlank="1" showInputMessage="1" showErrorMessage="1" sqref="B5:B22" xr:uid="{9EE146AE-01C0-4396-B0DC-785257EAF566}">
      <formula1>0</formula1>
      <formula2>1000000000</formula2>
    </dataValidation>
  </dataValidations>
  <hyperlinks>
    <hyperlink ref="L17:O20" r:id="rId1" display="You can find more information on infrastructure charges and environmental incentives here. " xr:uid="{344468C6-6537-49E5-B7FA-1565AA8D1AB4}"/>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1C38B76F-11EB-47E9-847B-AE59B80238D0}">
          <x14:formula1>
            <xm:f>Lists!$D$1:$D$2</xm:f>
          </x14:formula1>
          <xm:sqref>C5:E22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3F2EF-3975-41EB-BC73-2DA53EE92518}">
  <sheetPr codeName="Sheet18">
    <tabColor theme="8"/>
  </sheetPr>
  <dimension ref="A1:W25"/>
  <sheetViews>
    <sheetView showGridLines="0" showRowColHeaders="0" workbookViewId="0">
      <selection activeCell="B3" sqref="B3"/>
    </sheetView>
  </sheetViews>
  <sheetFormatPr defaultColWidth="0" defaultRowHeight="21.5" zeroHeight="1" x14ac:dyDescent="0.9"/>
  <cols>
    <col min="1" max="1" width="3.453125" style="13" customWidth="1"/>
    <col min="2" max="2" width="75.1796875" style="13" customWidth="1"/>
    <col min="3" max="3" width="24.81640625" style="13" customWidth="1"/>
    <col min="4" max="4" width="3.453125" style="13" customWidth="1"/>
    <col min="5" max="8" width="10.1796875" style="13" customWidth="1"/>
    <col min="9" max="9" width="8.7265625" style="13" customWidth="1"/>
    <col min="10" max="23" width="0" style="13" hidden="1" customWidth="1"/>
    <col min="24" max="16384" width="8.7265625" style="13" hidden="1"/>
  </cols>
  <sheetData>
    <row r="1" spans="2:8" ht="14.5" customHeight="1" thickBot="1" x14ac:dyDescent="0.95"/>
    <row r="2" spans="2:8" ht="22" customHeight="1" thickTop="1" x14ac:dyDescent="0.9">
      <c r="B2" s="50" t="s">
        <v>179</v>
      </c>
      <c r="C2" s="50" t="s">
        <v>182</v>
      </c>
      <c r="E2" s="148" t="s">
        <v>196</v>
      </c>
      <c r="F2" s="158"/>
      <c r="G2" s="158"/>
      <c r="H2" s="159"/>
    </row>
    <row r="3" spans="2:8" ht="22" customHeight="1" x14ac:dyDescent="0.9">
      <c r="B3" s="51" t="s">
        <v>231</v>
      </c>
      <c r="C3" s="52">
        <v>2</v>
      </c>
      <c r="E3" s="160"/>
      <c r="F3" s="161"/>
      <c r="G3" s="161"/>
      <c r="H3" s="162"/>
    </row>
    <row r="4" spans="2:8" ht="22" customHeight="1" x14ac:dyDescent="0.9">
      <c r="B4" s="53" t="s">
        <v>232</v>
      </c>
      <c r="C4" s="54">
        <v>1.5</v>
      </c>
      <c r="E4" s="160"/>
      <c r="F4" s="161"/>
      <c r="G4" s="161"/>
      <c r="H4" s="162"/>
    </row>
    <row r="5" spans="2:8" ht="22" customHeight="1" x14ac:dyDescent="0.9">
      <c r="B5" s="51" t="s">
        <v>233</v>
      </c>
      <c r="C5" s="52">
        <v>3</v>
      </c>
      <c r="E5" s="160"/>
      <c r="F5" s="161"/>
      <c r="G5" s="161"/>
      <c r="H5" s="162"/>
    </row>
    <row r="6" spans="2:8" ht="22" customHeight="1" x14ac:dyDescent="0.9">
      <c r="B6" s="53" t="s">
        <v>234</v>
      </c>
      <c r="C6" s="54">
        <v>10</v>
      </c>
      <c r="E6" s="160"/>
      <c r="F6" s="161"/>
      <c r="G6" s="161"/>
      <c r="H6" s="162"/>
    </row>
    <row r="7" spans="2:8" ht="22" customHeight="1" x14ac:dyDescent="0.9">
      <c r="B7" s="51" t="s">
        <v>235</v>
      </c>
      <c r="C7" s="52">
        <v>22</v>
      </c>
      <c r="E7" s="160"/>
      <c r="F7" s="161"/>
      <c r="G7" s="161"/>
      <c r="H7" s="162"/>
    </row>
    <row r="8" spans="2:8" ht="22" customHeight="1" x14ac:dyDescent="0.9">
      <c r="B8" s="53" t="s">
        <v>180</v>
      </c>
      <c r="C8" s="54">
        <v>3</v>
      </c>
      <c r="E8" s="160"/>
      <c r="F8" s="161"/>
      <c r="G8" s="161"/>
      <c r="H8" s="162"/>
    </row>
    <row r="9" spans="2:8" ht="22" customHeight="1" x14ac:dyDescent="0.9">
      <c r="B9" s="51" t="s">
        <v>236</v>
      </c>
      <c r="C9" s="52">
        <v>3</v>
      </c>
      <c r="E9" s="160"/>
      <c r="F9" s="161"/>
      <c r="G9" s="161"/>
      <c r="H9" s="162"/>
    </row>
    <row r="10" spans="2:8" ht="22" customHeight="1" x14ac:dyDescent="0.9">
      <c r="B10" s="53" t="s">
        <v>237</v>
      </c>
      <c r="C10" s="54">
        <v>5</v>
      </c>
      <c r="E10" s="160"/>
      <c r="F10" s="161"/>
      <c r="G10" s="161"/>
      <c r="H10" s="162"/>
    </row>
    <row r="11" spans="2:8" ht="22" customHeight="1" x14ac:dyDescent="0.9">
      <c r="B11" s="51" t="s">
        <v>238</v>
      </c>
      <c r="C11" s="52">
        <v>0.5</v>
      </c>
      <c r="E11" s="160"/>
      <c r="F11" s="161"/>
      <c r="G11" s="161"/>
      <c r="H11" s="162"/>
    </row>
    <row r="12" spans="2:8" ht="22" customHeight="1" x14ac:dyDescent="0.9">
      <c r="B12" s="53" t="s">
        <v>181</v>
      </c>
      <c r="C12" s="54">
        <v>1.5</v>
      </c>
      <c r="E12" s="160"/>
      <c r="F12" s="161"/>
      <c r="G12" s="161"/>
      <c r="H12" s="162"/>
    </row>
    <row r="13" spans="2:8" ht="22" customHeight="1" x14ac:dyDescent="0.9">
      <c r="B13" s="51" t="s">
        <v>239</v>
      </c>
      <c r="C13" s="52">
        <v>3</v>
      </c>
      <c r="E13" s="160"/>
      <c r="F13" s="161"/>
      <c r="G13" s="161"/>
      <c r="H13" s="162"/>
    </row>
    <row r="14" spans="2:8" ht="22" customHeight="1" x14ac:dyDescent="0.9">
      <c r="B14" s="53" t="s">
        <v>240</v>
      </c>
      <c r="C14" s="54">
        <v>10</v>
      </c>
      <c r="E14" s="160"/>
      <c r="F14" s="161"/>
      <c r="G14" s="161"/>
      <c r="H14" s="162"/>
    </row>
    <row r="15" spans="2:8" ht="22" customHeight="1" thickBot="1" x14ac:dyDescent="0.95">
      <c r="B15" s="51" t="s">
        <v>241</v>
      </c>
      <c r="C15" s="52">
        <v>3</v>
      </c>
      <c r="E15" s="163"/>
      <c r="F15" s="164"/>
      <c r="G15" s="164"/>
      <c r="H15" s="165"/>
    </row>
    <row r="16" spans="2:8" ht="22" thickTop="1" x14ac:dyDescent="0.9"/>
    <row r="17" spans="2:23" hidden="1" x14ac:dyDescent="0.9">
      <c r="B17" s="11"/>
      <c r="C17" s="11"/>
      <c r="D17" s="11"/>
      <c r="E17" s="11"/>
      <c r="F17" s="11"/>
      <c r="G17" s="11"/>
      <c r="H17" s="11"/>
      <c r="I17" s="11"/>
      <c r="J17" s="11"/>
      <c r="K17" s="11"/>
      <c r="L17" s="11"/>
      <c r="M17" s="11"/>
      <c r="N17" s="11"/>
      <c r="O17" s="11"/>
      <c r="P17" s="11"/>
      <c r="Q17" s="11"/>
      <c r="R17" s="11"/>
      <c r="S17" s="11"/>
      <c r="T17" s="11"/>
      <c r="U17" s="11"/>
      <c r="V17" s="11"/>
      <c r="W17" s="11"/>
    </row>
    <row r="19" spans="2:23" hidden="1" x14ac:dyDescent="0.9">
      <c r="B19" s="11"/>
      <c r="C19" s="11"/>
      <c r="D19" s="11"/>
      <c r="E19" s="11"/>
      <c r="F19" s="11"/>
      <c r="G19" s="11"/>
      <c r="H19" s="11"/>
      <c r="I19" s="11"/>
      <c r="J19" s="11"/>
      <c r="K19" s="11"/>
      <c r="L19" s="11"/>
      <c r="M19" s="11"/>
      <c r="N19" s="11"/>
      <c r="O19" s="11"/>
      <c r="P19" s="11"/>
      <c r="Q19" s="11"/>
      <c r="R19" s="11"/>
      <c r="S19" s="11"/>
      <c r="T19" s="11"/>
      <c r="U19" s="11"/>
      <c r="V19" s="11"/>
      <c r="W19" s="11"/>
    </row>
    <row r="21" spans="2:23" hidden="1" x14ac:dyDescent="0.9">
      <c r="B21" s="11"/>
      <c r="C21" s="11"/>
      <c r="D21" s="11"/>
      <c r="E21" s="11"/>
      <c r="F21" s="11"/>
      <c r="G21" s="11"/>
      <c r="H21" s="11"/>
      <c r="I21" s="11"/>
      <c r="J21" s="11"/>
      <c r="K21" s="11"/>
      <c r="L21" s="11"/>
      <c r="M21" s="11"/>
      <c r="N21" s="11"/>
      <c r="O21" s="11"/>
      <c r="P21" s="11"/>
      <c r="Q21" s="11"/>
      <c r="R21" s="11"/>
      <c r="S21" s="11"/>
      <c r="T21" s="11"/>
      <c r="U21" s="11"/>
      <c r="V21" s="11"/>
      <c r="W21" s="11"/>
    </row>
    <row r="23" spans="2:23" hidden="1" x14ac:dyDescent="0.9">
      <c r="B23" s="11"/>
      <c r="C23" s="11"/>
      <c r="D23" s="11"/>
      <c r="E23" s="11"/>
      <c r="F23" s="11"/>
      <c r="G23" s="11"/>
      <c r="H23" s="11"/>
      <c r="I23" s="11"/>
      <c r="J23" s="11"/>
      <c r="K23" s="11"/>
      <c r="L23" s="11"/>
      <c r="M23" s="11"/>
      <c r="N23" s="11"/>
      <c r="O23" s="11"/>
      <c r="P23" s="11"/>
      <c r="Q23" s="11"/>
      <c r="R23" s="11"/>
      <c r="S23" s="11"/>
      <c r="T23" s="11"/>
      <c r="U23" s="11"/>
      <c r="V23" s="11"/>
      <c r="W23" s="11"/>
    </row>
    <row r="25" spans="2:23" hidden="1" x14ac:dyDescent="0.9">
      <c r="J25" s="21"/>
    </row>
  </sheetData>
  <sheetProtection algorithmName="SHA-512" hashValue="PNUgb7StDrw9kLUkwFSYFVL+tvDxgEkqnRgJ5FmvhB0qLpVvZ0xm03+asXlna8CUN6aIcw1Lk5PPKxAP4Y8IKg==" saltValue="VZGEfSjk605WbY6nmlmqyA==" spinCount="100000" sheet="1" objects="1" scenarios="1"/>
  <mergeCells count="1">
    <mergeCell ref="E2:H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81884-E257-4CD4-830E-0BDC830BE31D}">
  <sheetPr codeName="Sheet19"/>
  <dimension ref="A1:AH12"/>
  <sheetViews>
    <sheetView workbookViewId="0">
      <selection activeCell="S24" sqref="S24"/>
    </sheetView>
  </sheetViews>
  <sheetFormatPr defaultRowHeight="14.5" x14ac:dyDescent="0.35"/>
  <cols>
    <col min="1" max="1" width="14.54296875" bestFit="1" customWidth="1"/>
    <col min="5" max="5" width="15.26953125" bestFit="1" customWidth="1"/>
    <col min="7" max="7" width="10.7265625" bestFit="1" customWidth="1"/>
    <col min="9" max="9" width="14.26953125" bestFit="1" customWidth="1"/>
  </cols>
  <sheetData>
    <row r="1" spans="1:34" x14ac:dyDescent="0.35">
      <c r="A1" t="s">
        <v>2</v>
      </c>
      <c r="B1" t="s">
        <v>4</v>
      </c>
      <c r="C1" t="s">
        <v>8</v>
      </c>
      <c r="D1" t="s">
        <v>16</v>
      </c>
      <c r="E1" t="s">
        <v>2</v>
      </c>
      <c r="F1" t="s">
        <v>83</v>
      </c>
      <c r="G1" t="s">
        <v>105</v>
      </c>
      <c r="H1" t="s">
        <v>112</v>
      </c>
      <c r="I1" t="s">
        <v>120</v>
      </c>
      <c r="J1" t="s">
        <v>132</v>
      </c>
      <c r="K1" t="s">
        <v>140</v>
      </c>
      <c r="L1" t="s">
        <v>160</v>
      </c>
      <c r="M1" t="s">
        <v>162</v>
      </c>
      <c r="P1" t="s">
        <v>120</v>
      </c>
      <c r="S1" t="s">
        <v>201</v>
      </c>
      <c r="W1">
        <f>IF('Terms Of Use'!F7=Lists!S2,1,0)</f>
        <v>0</v>
      </c>
      <c r="X1" s="8"/>
      <c r="Y1" s="8"/>
      <c r="Z1" s="8"/>
      <c r="AA1" s="8"/>
      <c r="AB1" s="8"/>
      <c r="AC1" s="8"/>
      <c r="AD1" s="8"/>
      <c r="AE1" s="8"/>
      <c r="AF1" s="8"/>
      <c r="AG1" s="8"/>
      <c r="AH1" s="8"/>
    </row>
    <row r="2" spans="1:34" x14ac:dyDescent="0.35">
      <c r="A2" t="s">
        <v>3</v>
      </c>
      <c r="B2" t="s">
        <v>5</v>
      </c>
      <c r="C2" t="s">
        <v>9</v>
      </c>
      <c r="D2" t="s">
        <v>17</v>
      </c>
      <c r="E2" t="s">
        <v>82</v>
      </c>
      <c r="F2" t="s">
        <v>84</v>
      </c>
      <c r="G2" t="s">
        <v>106</v>
      </c>
      <c r="H2" t="s">
        <v>113</v>
      </c>
      <c r="I2" t="s">
        <v>121</v>
      </c>
      <c r="J2" t="s">
        <v>133</v>
      </c>
      <c r="K2" t="s">
        <v>145</v>
      </c>
      <c r="L2" t="s">
        <v>161</v>
      </c>
      <c r="M2" t="s">
        <v>163</v>
      </c>
      <c r="P2" t="s">
        <v>130</v>
      </c>
      <c r="S2" t="s">
        <v>183</v>
      </c>
      <c r="W2">
        <f>IF('Terms Of Use'!F13=Lists!S2,1,0)</f>
        <v>0</v>
      </c>
      <c r="X2" s="8"/>
      <c r="Y2" s="8"/>
      <c r="Z2" s="8"/>
      <c r="AA2" s="8"/>
      <c r="AB2" s="8"/>
      <c r="AC2" s="8"/>
      <c r="AD2" s="8"/>
      <c r="AE2" s="8"/>
      <c r="AF2" s="8"/>
      <c r="AG2" s="8"/>
      <c r="AH2" s="8"/>
    </row>
    <row r="3" spans="1:34" x14ac:dyDescent="0.35">
      <c r="B3" t="s">
        <v>6</v>
      </c>
      <c r="C3" t="s">
        <v>10</v>
      </c>
      <c r="F3" t="s">
        <v>85</v>
      </c>
      <c r="G3" t="s">
        <v>107</v>
      </c>
      <c r="H3" t="s">
        <v>114</v>
      </c>
      <c r="I3" t="s">
        <v>122</v>
      </c>
      <c r="J3" t="s">
        <v>134</v>
      </c>
      <c r="K3" t="s">
        <v>146</v>
      </c>
      <c r="M3" t="s">
        <v>164</v>
      </c>
      <c r="W3">
        <f>IF('Terms Of Use'!F19=Lists!S2,1,0)</f>
        <v>0</v>
      </c>
      <c r="X3" s="8"/>
      <c r="Y3" s="8"/>
      <c r="Z3" s="8"/>
      <c r="AA3" s="8"/>
      <c r="AB3" s="8"/>
      <c r="AC3" s="8"/>
      <c r="AD3" s="8"/>
      <c r="AE3" s="8"/>
      <c r="AF3" s="8"/>
      <c r="AG3" s="8"/>
      <c r="AH3" s="8"/>
    </row>
    <row r="4" spans="1:34" x14ac:dyDescent="0.35">
      <c r="C4" t="s">
        <v>11</v>
      </c>
      <c r="F4" t="s">
        <v>86</v>
      </c>
      <c r="H4" t="s">
        <v>115</v>
      </c>
      <c r="I4" t="s">
        <v>123</v>
      </c>
      <c r="J4" t="s">
        <v>135</v>
      </c>
      <c r="M4" t="s">
        <v>165</v>
      </c>
      <c r="W4">
        <f>IF('Terms Of Use'!F26=Lists!S2,1,0)</f>
        <v>0</v>
      </c>
      <c r="X4" s="8"/>
      <c r="Y4" s="8"/>
      <c r="Z4" s="8"/>
      <c r="AA4" s="8"/>
      <c r="AB4" s="8"/>
      <c r="AC4" s="8"/>
      <c r="AD4" s="8"/>
      <c r="AE4" s="8"/>
      <c r="AF4" s="8"/>
      <c r="AG4" s="8"/>
      <c r="AH4" s="8"/>
    </row>
    <row r="5" spans="1:34" x14ac:dyDescent="0.35">
      <c r="H5" t="s">
        <v>116</v>
      </c>
      <c r="I5" t="s">
        <v>124</v>
      </c>
      <c r="J5" t="s">
        <v>136</v>
      </c>
      <c r="W5">
        <f>IF('Terms Of Use'!F35=Lists!S2,1,0)</f>
        <v>0</v>
      </c>
      <c r="X5" s="8"/>
      <c r="Y5" s="8"/>
      <c r="Z5" s="8"/>
      <c r="AA5" s="8"/>
      <c r="AB5" s="8"/>
      <c r="AC5" s="8"/>
      <c r="AD5" s="8"/>
      <c r="AE5" s="8"/>
      <c r="AF5" s="8"/>
      <c r="AG5" s="8"/>
      <c r="AH5" s="8"/>
    </row>
    <row r="6" spans="1:34" x14ac:dyDescent="0.35">
      <c r="I6" t="s">
        <v>125</v>
      </c>
      <c r="J6" t="s">
        <v>137</v>
      </c>
      <c r="W6" t="str">
        <f>IF(SUM(W1:W5)=1,"UNLOCKED","LOCKED")</f>
        <v>LOCKED</v>
      </c>
      <c r="X6" s="8"/>
      <c r="Y6" s="8"/>
      <c r="Z6" s="8"/>
      <c r="AA6" s="8"/>
      <c r="AB6" s="8"/>
      <c r="AC6" s="8"/>
      <c r="AD6" s="8"/>
      <c r="AE6" s="8"/>
      <c r="AF6" s="8"/>
      <c r="AG6" s="8"/>
      <c r="AH6" s="8"/>
    </row>
    <row r="7" spans="1:34" x14ac:dyDescent="0.35">
      <c r="I7" t="s">
        <v>126</v>
      </c>
      <c r="J7" t="s">
        <v>138</v>
      </c>
    </row>
    <row r="8" spans="1:34" x14ac:dyDescent="0.35">
      <c r="I8" t="s">
        <v>127</v>
      </c>
      <c r="J8" t="s">
        <v>139</v>
      </c>
    </row>
    <row r="9" spans="1:34" x14ac:dyDescent="0.35">
      <c r="I9" t="s">
        <v>128</v>
      </c>
      <c r="J9" t="s">
        <v>141</v>
      </c>
    </row>
    <row r="10" spans="1:34" x14ac:dyDescent="0.35">
      <c r="I10" t="s">
        <v>129</v>
      </c>
      <c r="J10" t="s">
        <v>142</v>
      </c>
    </row>
    <row r="11" spans="1:34" x14ac:dyDescent="0.35">
      <c r="I11" t="s">
        <v>130</v>
      </c>
      <c r="J11" t="s">
        <v>143</v>
      </c>
    </row>
    <row r="12" spans="1:34" x14ac:dyDescent="0.35">
      <c r="J12" t="s">
        <v>144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4D46-667D-44EC-8949-C955054190B6}">
  <sheetPr codeName="Sheet2">
    <tabColor theme="6"/>
  </sheetPr>
  <dimension ref="A1:AC61"/>
  <sheetViews>
    <sheetView showGridLines="0" showRowColHeaders="0" topLeftCell="A22" workbookViewId="0">
      <selection activeCell="B45" sqref="B45:AB47"/>
    </sheetView>
  </sheetViews>
  <sheetFormatPr defaultColWidth="0" defaultRowHeight="14.5" zeroHeight="1" x14ac:dyDescent="0.35"/>
  <cols>
    <col min="1" max="1" width="3.453125" style="10" customWidth="1"/>
    <col min="2" max="28" width="4.26953125" style="10" customWidth="1"/>
    <col min="29" max="29" width="8.7265625" style="10" customWidth="1"/>
    <col min="30" max="16384" width="8.7265625" style="10" hidden="1"/>
  </cols>
  <sheetData>
    <row r="1" spans="1:28" ht="14.5" customHeight="1" thickBot="1" x14ac:dyDescent="1.3">
      <c r="A1" s="55"/>
      <c r="B1" s="55"/>
      <c r="C1" s="55"/>
      <c r="D1" s="55"/>
      <c r="E1" s="55"/>
      <c r="F1" s="55"/>
      <c r="G1" s="55"/>
      <c r="H1" s="55"/>
      <c r="I1" s="55"/>
    </row>
    <row r="2" spans="1:28" ht="30" customHeight="1" thickTop="1" x14ac:dyDescent="1.25">
      <c r="A2" s="55"/>
      <c r="B2" s="83"/>
      <c r="C2" s="84"/>
      <c r="D2" s="84"/>
      <c r="E2" s="84"/>
      <c r="F2" s="84"/>
      <c r="G2" s="87" t="s">
        <v>198</v>
      </c>
      <c r="H2" s="87"/>
      <c r="I2" s="87"/>
      <c r="J2" s="87"/>
      <c r="K2" s="87"/>
      <c r="L2" s="87"/>
      <c r="M2" s="87"/>
      <c r="N2" s="87"/>
      <c r="O2" s="87"/>
      <c r="P2" s="87"/>
      <c r="Q2" s="87"/>
      <c r="R2" s="87"/>
      <c r="S2" s="87"/>
      <c r="T2" s="87"/>
      <c r="U2" s="87"/>
      <c r="V2" s="87"/>
      <c r="W2" s="87"/>
      <c r="X2" s="87"/>
      <c r="Y2" s="87"/>
      <c r="Z2" s="87"/>
      <c r="AA2" s="87"/>
      <c r="AB2" s="88"/>
    </row>
    <row r="3" spans="1:28" ht="30" customHeight="1" thickBot="1" x14ac:dyDescent="1.3">
      <c r="A3" s="55"/>
      <c r="B3" s="85"/>
      <c r="C3" s="86"/>
      <c r="D3" s="86"/>
      <c r="E3" s="86"/>
      <c r="F3" s="86"/>
      <c r="G3" s="89"/>
      <c r="H3" s="89"/>
      <c r="I3" s="89"/>
      <c r="J3" s="89"/>
      <c r="K3" s="89"/>
      <c r="L3" s="89"/>
      <c r="M3" s="89"/>
      <c r="N3" s="89"/>
      <c r="O3" s="89"/>
      <c r="P3" s="89"/>
      <c r="Q3" s="89"/>
      <c r="R3" s="89"/>
      <c r="S3" s="89"/>
      <c r="T3" s="89"/>
      <c r="U3" s="89"/>
      <c r="V3" s="89"/>
      <c r="W3" s="89"/>
      <c r="X3" s="89"/>
      <c r="Y3" s="89"/>
      <c r="Z3" s="89"/>
      <c r="AA3" s="89"/>
      <c r="AB3" s="90"/>
    </row>
    <row r="4" spans="1:28" ht="14.5" customHeight="1" x14ac:dyDescent="1.25">
      <c r="A4" s="55"/>
      <c r="B4" s="109" t="s">
        <v>204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1"/>
    </row>
    <row r="5" spans="1:28" ht="14.5" customHeight="1" x14ac:dyDescent="1.25">
      <c r="A5" s="55"/>
      <c r="B5" s="112"/>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4"/>
    </row>
    <row r="6" spans="1:28" ht="14.5" customHeight="1" x14ac:dyDescent="1.25">
      <c r="A6" s="55"/>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4"/>
    </row>
    <row r="7" spans="1:28" ht="14.5" customHeight="1" x14ac:dyDescent="1.25">
      <c r="A7" s="55"/>
      <c r="B7" s="112"/>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4"/>
    </row>
    <row r="8" spans="1:28" ht="14.5" customHeight="1" x14ac:dyDescent="1.25">
      <c r="A8" s="55"/>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4"/>
    </row>
    <row r="9" spans="1:28" ht="14.5" customHeight="1" x14ac:dyDescent="1.25">
      <c r="A9" s="55"/>
      <c r="B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4"/>
    </row>
    <row r="10" spans="1:28" ht="14.5" customHeight="1" x14ac:dyDescent="1.25">
      <c r="A10" s="55"/>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4"/>
    </row>
    <row r="11" spans="1:28" ht="14.5" customHeight="1" x14ac:dyDescent="1.25">
      <c r="A11" s="55"/>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4"/>
    </row>
    <row r="12" spans="1:28" ht="14.5" customHeight="1" x14ac:dyDescent="1.25">
      <c r="A12" s="55"/>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4"/>
    </row>
    <row r="13" spans="1:28" ht="14.5" customHeight="1" x14ac:dyDescent="1.25">
      <c r="A13" s="55"/>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4"/>
    </row>
    <row r="14" spans="1:28" ht="14.5" customHeight="1" x14ac:dyDescent="1.25">
      <c r="A14" s="55"/>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row>
    <row r="15" spans="1:28" ht="14.5" customHeight="1" x14ac:dyDescent="1.25">
      <c r="A15" s="55"/>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4"/>
    </row>
    <row r="16" spans="1:28" ht="14.5" customHeight="1" x14ac:dyDescent="1.25">
      <c r="A16" s="55"/>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4"/>
    </row>
    <row r="17" spans="1:28" ht="14.5" customHeight="1" x14ac:dyDescent="1.25">
      <c r="A17" s="55"/>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4"/>
    </row>
    <row r="18" spans="1:28" ht="14.5" customHeight="1" x14ac:dyDescent="1.25">
      <c r="A18" s="55"/>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4"/>
    </row>
    <row r="19" spans="1:28" ht="14.5" customHeight="1" x14ac:dyDescent="1.25">
      <c r="A19" s="55"/>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4"/>
    </row>
    <row r="20" spans="1:28" ht="14.5" customHeight="1" x14ac:dyDescent="1.25">
      <c r="A20" s="55"/>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4"/>
    </row>
    <row r="21" spans="1:28" ht="14.5" customHeight="1" x14ac:dyDescent="1.25">
      <c r="A21" s="55"/>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4"/>
    </row>
    <row r="22" spans="1:28" ht="14.5" customHeight="1" x14ac:dyDescent="1.25">
      <c r="A22" s="55"/>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4"/>
    </row>
    <row r="23" spans="1:28" ht="14.5" customHeight="1" x14ac:dyDescent="0.35">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4"/>
    </row>
    <row r="24" spans="1:28" ht="14.5" customHeight="1" x14ac:dyDescent="0.35">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4"/>
    </row>
    <row r="25" spans="1:28" ht="14.5" customHeight="1" x14ac:dyDescent="0.35">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4"/>
    </row>
    <row r="26" spans="1:28" ht="14.5" customHeight="1" x14ac:dyDescent="0.35">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4"/>
    </row>
    <row r="27" spans="1:28" ht="14.5" customHeight="1" x14ac:dyDescent="0.3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4"/>
    </row>
    <row r="28" spans="1:28" ht="14.5" customHeight="1" x14ac:dyDescent="0.35">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4"/>
    </row>
    <row r="29" spans="1:28" ht="14.5" customHeight="1" x14ac:dyDescent="0.35">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4"/>
    </row>
    <row r="30" spans="1:28" ht="14.5" customHeight="1" x14ac:dyDescent="0.35">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4"/>
    </row>
    <row r="31" spans="1:28" ht="14.5" customHeight="1" x14ac:dyDescent="0.35">
      <c r="B31" s="11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4"/>
    </row>
    <row r="32" spans="1:28" ht="14.5" customHeight="1" x14ac:dyDescent="0.35">
      <c r="B32" s="11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4"/>
    </row>
    <row r="33" spans="2:28" ht="14.5" customHeight="1" x14ac:dyDescent="0.35">
      <c r="B33" s="112"/>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4"/>
    </row>
    <row r="34" spans="2:28" ht="14.5" customHeight="1" x14ac:dyDescent="0.35">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4"/>
    </row>
    <row r="35" spans="2:28" ht="14.5" customHeight="1" x14ac:dyDescent="0.35">
      <c r="B35" s="11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4"/>
    </row>
    <row r="36" spans="2:28" ht="14.5" customHeight="1" x14ac:dyDescent="0.35">
      <c r="B36" s="112"/>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4"/>
    </row>
    <row r="37" spans="2:28" ht="14.5" customHeight="1" x14ac:dyDescent="0.35">
      <c r="B37" s="112"/>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4"/>
    </row>
    <row r="38" spans="2:28" ht="14.5" customHeight="1" x14ac:dyDescent="0.35">
      <c r="B38" s="11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4"/>
    </row>
    <row r="39" spans="2:28" ht="14.5" customHeight="1" x14ac:dyDescent="0.35">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2:28" ht="14.5" customHeight="1" x14ac:dyDescent="0.35">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2:28" ht="14.5" customHeight="1" thickBot="1" x14ac:dyDescent="0.4">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7"/>
    </row>
    <row r="42" spans="2:28" ht="38.5" customHeight="1" x14ac:dyDescent="0.35">
      <c r="B42" s="108" t="s">
        <v>197</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row>
    <row r="43" spans="2:28" ht="14.5" customHeight="1" x14ac:dyDescent="0.35">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row>
    <row r="44" spans="2:28" ht="15" thickBot="1" x14ac:dyDescent="0.4"/>
    <row r="45" spans="2:28" ht="15.5" thickTop="1" thickBot="1" x14ac:dyDescent="0.4">
      <c r="B45" s="107" t="s">
        <v>199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row>
    <row r="46" spans="2:28" ht="15.5" thickTop="1" thickBot="1" x14ac:dyDescent="0.4">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row>
    <row r="47" spans="2:28" ht="15.5" thickTop="1" thickBot="1" x14ac:dyDescent="0.4">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row>
    <row r="48" spans="2:28" ht="15.5" thickTop="1" thickBot="1" x14ac:dyDescent="0.4"/>
    <row r="49" spans="2:28" ht="15.5" thickTop="1" thickBot="1" x14ac:dyDescent="0.4">
      <c r="B49" s="107" t="s">
        <v>187</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row>
    <row r="50" spans="2:28" ht="15.5" thickTop="1" thickBot="1" x14ac:dyDescent="0.4">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row>
    <row r="51" spans="2:28" ht="15.5" thickTop="1" thickBot="1" x14ac:dyDescent="0.4">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row>
    <row r="52" spans="2:28" ht="15.5" thickTop="1" thickBot="1" x14ac:dyDescent="0.4"/>
    <row r="53" spans="2:28" ht="15.5" thickTop="1" thickBot="1" x14ac:dyDescent="0.4">
      <c r="B53" s="107" t="s">
        <v>188</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2:28" ht="15.5" thickTop="1" thickBot="1" x14ac:dyDescent="0.4">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2:28" ht="15.5" thickTop="1" thickBot="1" x14ac:dyDescent="0.4">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2:28" ht="15.5" thickTop="1" thickBot="1" x14ac:dyDescent="0.4"/>
    <row r="57" spans="2:28" ht="15.5" thickTop="1" thickBot="1" x14ac:dyDescent="0.4">
      <c r="B57" s="107" t="s">
        <v>189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2:28" ht="15.5" thickTop="1" thickBot="1" x14ac:dyDescent="0.4">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row>
    <row r="59" spans="2:28" ht="15.5" thickTop="1" thickBot="1" x14ac:dyDescent="0.4">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row>
    <row r="60" spans="2:28" ht="15" thickTop="1" x14ac:dyDescent="0.35"/>
    <row r="61" spans="2:28" x14ac:dyDescent="0.35"/>
  </sheetData>
  <sheetProtection algorithmName="SHA-512" hashValue="4zEOraggtKU4dy1atWQE+WxJxMYcjwz84cP4csOzB9LUFuD6v4SyZZCvWcJeaEQ1BLYubQRo7J5Ti81cF5m4Eg==" saltValue="R/hWfVpQJFNSv3CnZKDeyg==" spinCount="100000" sheet="1" objects="1" scenarios="1"/>
  <mergeCells count="8">
    <mergeCell ref="B53:AB55"/>
    <mergeCell ref="B57:AB59"/>
    <mergeCell ref="B42:AB43"/>
    <mergeCell ref="B2:F3"/>
    <mergeCell ref="G2:AB3"/>
    <mergeCell ref="B45:AB47"/>
    <mergeCell ref="B49:AB51"/>
    <mergeCell ref="B4:AB41"/>
  </mergeCells>
  <hyperlinks>
    <hyperlink ref="B45:AB47" r:id="rId1" display="New Connections Charging Arrangements" xr:uid="{A0329C76-42FB-4B9C-88F5-E5CE31FCAD33}"/>
    <hyperlink ref="B49:AB51" r:id="rId2" display="Annual Contestability Summary" xr:uid="{7B8A1686-DAF6-4102-A9A9-CB4EFFB41C6F}"/>
    <hyperlink ref="B53:AB55" r:id="rId3" display="Design &amp; Construction Specifications" xr:uid="{06C61328-5111-416E-A90E-5F6717BF4FC8}"/>
    <hyperlink ref="B57:AB59" r:id="rId4" display="Environmental Incentives &amp; Credits" xr:uid="{5B1B2BB8-43F5-4EBD-BF6F-8439D4FDBD35}"/>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A75C-6ED2-456E-ADED-A68F2CDB9142}">
  <sheetPr codeName="Sheet20"/>
  <dimension ref="A1:CA58"/>
  <sheetViews>
    <sheetView workbookViewId="0">
      <selection activeCell="B3" sqref="B3"/>
    </sheetView>
  </sheetViews>
  <sheetFormatPr defaultRowHeight="14.5" x14ac:dyDescent="0.35"/>
  <cols>
    <col min="2" max="2" width="14.81640625" bestFit="1" customWidth="1"/>
    <col min="4" max="4" width="37.7265625" customWidth="1"/>
    <col min="9" max="9" width="41.81640625" bestFit="1" customWidth="1"/>
    <col min="30" max="30" width="15.26953125" bestFit="1" customWidth="1"/>
    <col min="31" max="31" width="12.453125" bestFit="1" customWidth="1"/>
    <col min="32" max="32" width="30.26953125" bestFit="1" customWidth="1"/>
    <col min="50" max="50" width="16.54296875" bestFit="1" customWidth="1"/>
    <col min="54" max="54" width="10.81640625" bestFit="1" customWidth="1"/>
    <col min="64" max="64" width="30.81640625" customWidth="1"/>
    <col min="69" max="69" width="13.1796875" bestFit="1" customWidth="1"/>
    <col min="70" max="70" width="17.1796875" bestFit="1" customWidth="1"/>
    <col min="71" max="71" width="29.453125" bestFit="1" customWidth="1"/>
    <col min="76" max="76" width="43.54296875" bestFit="1" customWidth="1"/>
    <col min="78" max="78" width="9.81640625" bestFit="1" customWidth="1"/>
  </cols>
  <sheetData>
    <row r="1" spans="1:79" x14ac:dyDescent="0.35">
      <c r="A1" s="9" t="e">
        <f>'1. Application Fees'!C2+'2. Branch Connections'!C2+'3. Main Laying'!C2+'4. Chlorinations For Self Laid'!C2+'5. Additional Phases'!C2+'6. On-site Service Connections'!C2+'7. On-site Manifolds'!C2+'8. Meters For Self Lay'!C2+'9. Meters For Flats'!C2+'10. Traffic Management'!B1+'10. Network Assembly'!D2+'12. Disconnection And Capping'!B1+'11. Infrastructure Charges'!C2+'12. NHH Infrastructure Charges'!C2</f>
        <v>#VALUE!</v>
      </c>
    </row>
    <row r="2" spans="1:79" x14ac:dyDescent="0.35">
      <c r="A2" t="s">
        <v>2</v>
      </c>
      <c r="B2" t="s">
        <v>4</v>
      </c>
      <c r="C2" t="s">
        <v>8</v>
      </c>
    </row>
    <row r="3" spans="1:79" x14ac:dyDescent="0.35">
      <c r="A3" t="s">
        <v>3</v>
      </c>
      <c r="B3" t="s">
        <v>5</v>
      </c>
      <c r="C3" t="s">
        <v>9</v>
      </c>
    </row>
    <row r="4" spans="1:79" x14ac:dyDescent="0.35">
      <c r="B4" t="s">
        <v>6</v>
      </c>
      <c r="C4" t="s">
        <v>10</v>
      </c>
    </row>
    <row r="5" spans="1:79" x14ac:dyDescent="0.35">
      <c r="C5" t="s">
        <v>11</v>
      </c>
      <c r="BL5" s="202" t="s">
        <v>166</v>
      </c>
      <c r="BM5" s="202"/>
      <c r="BN5" s="202"/>
      <c r="BO5" s="202"/>
    </row>
    <row r="6" spans="1:79" x14ac:dyDescent="0.35">
      <c r="BH6" s="202" t="s">
        <v>147</v>
      </c>
      <c r="BI6" s="202"/>
      <c r="BM6" t="s">
        <v>148</v>
      </c>
      <c r="BN6" t="s">
        <v>148</v>
      </c>
      <c r="BO6" t="s">
        <v>149</v>
      </c>
      <c r="BQ6" s="202" t="s">
        <v>168</v>
      </c>
      <c r="BR6" s="202"/>
      <c r="BS6" s="202"/>
      <c r="BT6" s="202"/>
    </row>
    <row r="7" spans="1:79" x14ac:dyDescent="0.35">
      <c r="BB7" s="202" t="s">
        <v>119</v>
      </c>
      <c r="BC7" s="202"/>
      <c r="BD7" s="202"/>
      <c r="BE7" s="202"/>
      <c r="BH7" t="s">
        <v>120</v>
      </c>
      <c r="BI7">
        <v>56</v>
      </c>
      <c r="BL7" t="s">
        <v>132</v>
      </c>
      <c r="BM7" t="s">
        <v>150</v>
      </c>
      <c r="BN7">
        <v>361</v>
      </c>
      <c r="BO7">
        <v>25</v>
      </c>
      <c r="BQ7" t="s">
        <v>167</v>
      </c>
      <c r="BR7" t="s">
        <v>0</v>
      </c>
      <c r="BS7" t="s">
        <v>169</v>
      </c>
      <c r="BT7" t="s">
        <v>13</v>
      </c>
      <c r="BU7" t="s">
        <v>167</v>
      </c>
      <c r="BV7" t="s">
        <v>170</v>
      </c>
      <c r="BW7" t="s">
        <v>0</v>
      </c>
      <c r="BX7" t="s">
        <v>171</v>
      </c>
      <c r="BY7" t="s">
        <v>13</v>
      </c>
      <c r="BZ7" t="s">
        <v>172</v>
      </c>
      <c r="CA7" t="s">
        <v>173</v>
      </c>
    </row>
    <row r="8" spans="1:79" x14ac:dyDescent="0.35">
      <c r="AU8" s="201" t="s">
        <v>117</v>
      </c>
      <c r="AV8" s="201"/>
      <c r="AW8" s="201"/>
      <c r="AX8" s="201"/>
      <c r="AY8" s="201"/>
      <c r="BB8" t="s">
        <v>1</v>
      </c>
      <c r="BC8" t="s">
        <v>118</v>
      </c>
      <c r="BD8" t="s">
        <v>7</v>
      </c>
      <c r="BH8" t="s">
        <v>121</v>
      </c>
      <c r="BI8">
        <v>56</v>
      </c>
      <c r="BL8" t="s">
        <v>133</v>
      </c>
      <c r="BM8" t="s">
        <v>150</v>
      </c>
      <c r="BN8">
        <v>316</v>
      </c>
      <c r="BO8">
        <v>25</v>
      </c>
      <c r="BQ8" t="s">
        <v>160</v>
      </c>
      <c r="BR8" t="s">
        <v>162</v>
      </c>
      <c r="BS8" t="str">
        <f t="shared" ref="BS8:BS15" si="0">BQ8&amp;BR8</f>
        <v>DisconnectionUnder 150mm</v>
      </c>
      <c r="BT8">
        <v>2307</v>
      </c>
      <c r="BU8" t="s">
        <v>160</v>
      </c>
      <c r="BV8" t="s">
        <v>4</v>
      </c>
      <c r="BW8" t="s">
        <v>162</v>
      </c>
      <c r="BX8" t="str">
        <f>BU8&amp;BV8&amp;BW8</f>
        <v>DisconnectionRoadUnder 150mm</v>
      </c>
      <c r="BY8">
        <v>2254</v>
      </c>
      <c r="BZ8">
        <v>281</v>
      </c>
      <c r="CA8">
        <v>182</v>
      </c>
    </row>
    <row r="9" spans="1:79" x14ac:dyDescent="0.35">
      <c r="AC9" s="201" t="s">
        <v>108</v>
      </c>
      <c r="AD9" s="201"/>
      <c r="AE9" s="201"/>
      <c r="AF9" s="201"/>
      <c r="AG9" s="201"/>
      <c r="AH9" s="201"/>
      <c r="AI9" s="201"/>
      <c r="AJ9" s="201"/>
      <c r="AK9" s="201"/>
      <c r="AL9" s="201"/>
      <c r="AM9" s="201"/>
      <c r="AN9" s="201"/>
      <c r="AU9" t="s">
        <v>109</v>
      </c>
      <c r="AV9" t="s">
        <v>110</v>
      </c>
      <c r="AW9" t="s">
        <v>0</v>
      </c>
      <c r="AX9" t="s">
        <v>14</v>
      </c>
      <c r="AY9" t="s">
        <v>13</v>
      </c>
      <c r="BB9" t="s">
        <v>16</v>
      </c>
      <c r="BC9" t="s">
        <v>112</v>
      </c>
      <c r="BD9" t="str">
        <f>BB9&amp;BC9</f>
        <v>Yes4 Way</v>
      </c>
      <c r="BE9">
        <f>BE14+58</f>
        <v>2356</v>
      </c>
      <c r="BH9" t="s">
        <v>122</v>
      </c>
      <c r="BI9">
        <v>75</v>
      </c>
      <c r="BL9" t="s">
        <v>134</v>
      </c>
      <c r="BM9" t="s">
        <v>150</v>
      </c>
      <c r="BN9">
        <v>482</v>
      </c>
      <c r="BO9">
        <v>39</v>
      </c>
      <c r="BQ9" t="s">
        <v>160</v>
      </c>
      <c r="BR9" t="s">
        <v>163</v>
      </c>
      <c r="BS9" t="str">
        <f t="shared" si="0"/>
        <v>Disconnection150mm to &lt;300mm</v>
      </c>
      <c r="BT9">
        <v>2814</v>
      </c>
      <c r="BU9" t="s">
        <v>160</v>
      </c>
      <c r="BV9" t="s">
        <v>4</v>
      </c>
      <c r="BW9" t="s">
        <v>163</v>
      </c>
      <c r="BX9" t="str">
        <f t="shared" ref="BX9:BX31" si="1">BU9&amp;BV9&amp;BW9</f>
        <v>DisconnectionRoad150mm to &lt;300mm</v>
      </c>
      <c r="BY9">
        <v>2704</v>
      </c>
      <c r="BZ9">
        <v>281</v>
      </c>
      <c r="CA9">
        <v>182</v>
      </c>
    </row>
    <row r="10" spans="1:79" x14ac:dyDescent="0.35">
      <c r="A10" s="201" t="s">
        <v>12</v>
      </c>
      <c r="B10" s="201"/>
      <c r="C10" s="201"/>
      <c r="D10" s="201"/>
      <c r="E10" s="201"/>
      <c r="I10" s="202" t="s">
        <v>76</v>
      </c>
      <c r="J10" s="202"/>
      <c r="K10" s="202"/>
      <c r="O10" s="202" t="s">
        <v>72</v>
      </c>
      <c r="P10" s="202"/>
      <c r="S10" s="202" t="s">
        <v>75</v>
      </c>
      <c r="T10" s="202"/>
      <c r="W10" s="202" t="s">
        <v>81</v>
      </c>
      <c r="X10" s="202"/>
      <c r="Y10" s="202"/>
      <c r="Z10" s="202"/>
      <c r="AF10" t="s">
        <v>102</v>
      </c>
      <c r="AG10" t="s">
        <v>91</v>
      </c>
      <c r="AI10" t="s">
        <v>98</v>
      </c>
      <c r="AJ10" t="s">
        <v>99</v>
      </c>
      <c r="AK10" t="s">
        <v>100</v>
      </c>
      <c r="AL10" t="s">
        <v>92</v>
      </c>
      <c r="AM10" t="s">
        <v>93</v>
      </c>
      <c r="AN10" t="s">
        <v>94</v>
      </c>
      <c r="AU10" t="s">
        <v>16</v>
      </c>
      <c r="AV10" t="s">
        <v>16</v>
      </c>
      <c r="AW10" t="s">
        <v>105</v>
      </c>
      <c r="AX10" t="str">
        <f>AU10&amp;AV10&amp;AW10</f>
        <v>YesYes25-32mm</v>
      </c>
      <c r="AY10">
        <v>415</v>
      </c>
      <c r="BB10" t="s">
        <v>16</v>
      </c>
      <c r="BC10" t="s">
        <v>113</v>
      </c>
      <c r="BD10" t="str">
        <f t="shared" ref="BD10:BD18" si="2">BB10&amp;BC10</f>
        <v>Yes5 Way</v>
      </c>
      <c r="BE10">
        <f t="shared" ref="BE10:BE13" si="3">BE15+58</f>
        <v>2572</v>
      </c>
      <c r="BH10" t="s">
        <v>123</v>
      </c>
      <c r="BI10">
        <v>75</v>
      </c>
      <c r="BL10" t="s">
        <v>135</v>
      </c>
      <c r="BM10" t="s">
        <v>150</v>
      </c>
      <c r="BN10">
        <v>361</v>
      </c>
      <c r="BO10">
        <v>25</v>
      </c>
      <c r="BQ10" t="s">
        <v>160</v>
      </c>
      <c r="BR10" t="s">
        <v>164</v>
      </c>
      <c r="BS10" t="str">
        <f t="shared" si="0"/>
        <v>Disconnection300mm to &lt;450mm</v>
      </c>
      <c r="BT10">
        <v>4353</v>
      </c>
      <c r="BU10" t="s">
        <v>160</v>
      </c>
      <c r="BV10" t="s">
        <v>4</v>
      </c>
      <c r="BW10" t="s">
        <v>164</v>
      </c>
      <c r="BX10" t="str">
        <f t="shared" si="1"/>
        <v>DisconnectionRoad300mm to &lt;450mm</v>
      </c>
      <c r="BY10">
        <v>4402</v>
      </c>
      <c r="BZ10">
        <v>281</v>
      </c>
      <c r="CA10">
        <v>182</v>
      </c>
    </row>
    <row r="11" spans="1:79" x14ac:dyDescent="0.35">
      <c r="A11" t="s">
        <v>2</v>
      </c>
      <c r="B11" t="s">
        <v>4</v>
      </c>
      <c r="C11" t="s">
        <v>8</v>
      </c>
      <c r="D11" t="str">
        <f>A11&amp;B11&amp;C11&amp;"No"</f>
        <v>Yorkshire WaterRoad63-125mmNo</v>
      </c>
      <c r="E11">
        <v>2997</v>
      </c>
      <c r="I11" t="s">
        <v>19</v>
      </c>
      <c r="J11">
        <v>158</v>
      </c>
      <c r="K11">
        <v>25</v>
      </c>
      <c r="O11" t="s">
        <v>68</v>
      </c>
      <c r="P11">
        <v>2910</v>
      </c>
      <c r="S11" t="s">
        <v>8</v>
      </c>
      <c r="T11">
        <v>319</v>
      </c>
      <c r="W11" t="s">
        <v>2</v>
      </c>
      <c r="X11" t="s">
        <v>8</v>
      </c>
      <c r="Y11" t="str">
        <f>W11&amp;X11</f>
        <v>Yorkshire Water63-125mm</v>
      </c>
      <c r="Z11">
        <v>551</v>
      </c>
      <c r="AC11" t="s">
        <v>16</v>
      </c>
      <c r="AD11" t="s">
        <v>2</v>
      </c>
      <c r="AE11" t="s">
        <v>83</v>
      </c>
      <c r="AF11" t="str">
        <f>AC11&amp;AD11&amp;AE11</f>
        <v>YesYorkshire WaterNAV Scheme</v>
      </c>
      <c r="AG11">
        <f>SUM(AK11:AN11)</f>
        <v>800</v>
      </c>
      <c r="AH11" t="s">
        <v>95</v>
      </c>
      <c r="AI11">
        <v>277</v>
      </c>
      <c r="AJ11">
        <v>218</v>
      </c>
      <c r="AK11">
        <f>AI11+AJ11</f>
        <v>495</v>
      </c>
      <c r="AL11">
        <v>217</v>
      </c>
      <c r="AM11">
        <v>46</v>
      </c>
      <c r="AN11">
        <v>42</v>
      </c>
      <c r="AU11" t="s">
        <v>16</v>
      </c>
      <c r="AV11" t="s">
        <v>16</v>
      </c>
      <c r="AW11" t="s">
        <v>106</v>
      </c>
      <c r="AX11" t="str">
        <f t="shared" ref="AX11:AX21" si="4">AU11&amp;AV11&amp;AW11</f>
        <v>YesYes63-90mm</v>
      </c>
      <c r="AY11">
        <v>44</v>
      </c>
      <c r="BB11" t="s">
        <v>16</v>
      </c>
      <c r="BC11" t="s">
        <v>114</v>
      </c>
      <c r="BD11" t="str">
        <f t="shared" si="2"/>
        <v>Yes6 Way</v>
      </c>
      <c r="BE11">
        <f t="shared" si="3"/>
        <v>2701</v>
      </c>
      <c r="BH11" t="s">
        <v>124</v>
      </c>
      <c r="BI11">
        <v>135</v>
      </c>
      <c r="BL11" t="s">
        <v>136</v>
      </c>
      <c r="BM11" t="s">
        <v>150</v>
      </c>
      <c r="BN11">
        <v>271</v>
      </c>
      <c r="BO11">
        <v>25</v>
      </c>
      <c r="BQ11" t="s">
        <v>160</v>
      </c>
      <c r="BR11" t="s">
        <v>165</v>
      </c>
      <c r="BS11" t="str">
        <f t="shared" si="0"/>
        <v>Disconnection450mm to &lt;600mm</v>
      </c>
      <c r="BT11">
        <v>6570</v>
      </c>
      <c r="BU11" t="s">
        <v>160</v>
      </c>
      <c r="BV11" t="s">
        <v>4</v>
      </c>
      <c r="BW11" t="s">
        <v>165</v>
      </c>
      <c r="BX11" t="str">
        <f t="shared" si="1"/>
        <v>DisconnectionRoad450mm to &lt;600mm</v>
      </c>
      <c r="BY11">
        <v>7727</v>
      </c>
      <c r="BZ11">
        <v>281</v>
      </c>
      <c r="CA11">
        <v>182</v>
      </c>
    </row>
    <row r="12" spans="1:79" x14ac:dyDescent="0.35">
      <c r="A12" t="s">
        <v>2</v>
      </c>
      <c r="B12" t="s">
        <v>4</v>
      </c>
      <c r="C12" t="s">
        <v>9</v>
      </c>
      <c r="D12" t="str">
        <f t="shared" ref="D12:D34" si="5">A12&amp;B12&amp;C12&amp;"No"</f>
        <v>Yorkshire WaterRoad160-225mmNo</v>
      </c>
      <c r="E12">
        <v>3975</v>
      </c>
      <c r="I12" t="s">
        <v>20</v>
      </c>
      <c r="J12">
        <v>265</v>
      </c>
      <c r="K12">
        <v>34</v>
      </c>
      <c r="O12" t="s">
        <v>69</v>
      </c>
      <c r="P12">
        <v>2660</v>
      </c>
      <c r="S12" t="s">
        <v>9</v>
      </c>
      <c r="T12">
        <v>621</v>
      </c>
      <c r="W12" t="s">
        <v>2</v>
      </c>
      <c r="X12" t="s">
        <v>9</v>
      </c>
      <c r="Y12" t="str">
        <f t="shared" ref="Y12:Y18" si="6">W12&amp;X12</f>
        <v>Yorkshire Water160-225mm</v>
      </c>
      <c r="Z12">
        <v>1436</v>
      </c>
      <c r="AC12" t="s">
        <v>16</v>
      </c>
      <c r="AD12" t="s">
        <v>2</v>
      </c>
      <c r="AE12" t="s">
        <v>84</v>
      </c>
      <c r="AF12" t="str">
        <f t="shared" ref="AF12:AF26" si="7">AC12&amp;AD12&amp;AE12</f>
        <v>YesYorkshire Water1-100</v>
      </c>
      <c r="AG12">
        <f t="shared" ref="AG12:AG22" si="8">SUM(AK12:AN12)</f>
        <v>1962</v>
      </c>
      <c r="AH12" t="s">
        <v>101</v>
      </c>
      <c r="AI12">
        <v>277</v>
      </c>
      <c r="AJ12">
        <v>1380</v>
      </c>
      <c r="AK12">
        <f t="shared" ref="AK12:AK22" si="9">AI12+AJ12</f>
        <v>1657</v>
      </c>
      <c r="AL12">
        <v>217</v>
      </c>
      <c r="AM12">
        <v>46</v>
      </c>
      <c r="AN12">
        <v>42</v>
      </c>
      <c r="AU12" t="s">
        <v>16</v>
      </c>
      <c r="AV12" t="s">
        <v>16</v>
      </c>
      <c r="AW12" t="s">
        <v>107</v>
      </c>
      <c r="AX12" t="str">
        <f t="shared" si="4"/>
        <v>YesYes110-125mm</v>
      </c>
      <c r="AY12">
        <v>473</v>
      </c>
      <c r="BB12" t="s">
        <v>16</v>
      </c>
      <c r="BC12" t="s">
        <v>115</v>
      </c>
      <c r="BD12" t="str">
        <f t="shared" si="2"/>
        <v>Yes7 Way</v>
      </c>
      <c r="BE12">
        <f t="shared" si="3"/>
        <v>2969</v>
      </c>
      <c r="BH12" t="s">
        <v>125</v>
      </c>
      <c r="BI12">
        <v>140</v>
      </c>
      <c r="BL12" t="s">
        <v>137</v>
      </c>
      <c r="BM12" t="s">
        <v>150</v>
      </c>
      <c r="BN12">
        <v>305</v>
      </c>
      <c r="BO12">
        <v>25</v>
      </c>
      <c r="BQ12" t="s">
        <v>161</v>
      </c>
      <c r="BR12" t="s">
        <v>162</v>
      </c>
      <c r="BS12" t="str">
        <f t="shared" si="0"/>
        <v>CapUnder 150mm</v>
      </c>
      <c r="BT12">
        <v>2307</v>
      </c>
      <c r="BU12" t="s">
        <v>160</v>
      </c>
      <c r="BV12" t="s">
        <v>5</v>
      </c>
      <c r="BW12" t="s">
        <v>162</v>
      </c>
      <c r="BX12" t="str">
        <f t="shared" si="1"/>
        <v>DisconnectionFootpathUnder 150mm</v>
      </c>
      <c r="BY12">
        <v>2246</v>
      </c>
      <c r="BZ12">
        <v>279</v>
      </c>
      <c r="CA12">
        <v>180</v>
      </c>
    </row>
    <row r="13" spans="1:79" x14ac:dyDescent="0.35">
      <c r="A13" t="s">
        <v>2</v>
      </c>
      <c r="B13" t="s">
        <v>4</v>
      </c>
      <c r="C13" t="s">
        <v>10</v>
      </c>
      <c r="D13" t="str">
        <f t="shared" si="5"/>
        <v>Yorkshire WaterRoad250-400mmNo</v>
      </c>
      <c r="E13">
        <v>9643</v>
      </c>
      <c r="I13" t="s">
        <v>21</v>
      </c>
      <c r="J13">
        <v>322</v>
      </c>
      <c r="K13">
        <v>54</v>
      </c>
      <c r="O13" t="s">
        <v>70</v>
      </c>
      <c r="P13">
        <v>2882</v>
      </c>
      <c r="S13" t="s">
        <v>10</v>
      </c>
      <c r="T13">
        <v>1517</v>
      </c>
      <c r="W13" t="s">
        <v>2</v>
      </c>
      <c r="X13" t="s">
        <v>10</v>
      </c>
      <c r="Y13" t="str">
        <f t="shared" si="6"/>
        <v>Yorkshire Water250-400mm</v>
      </c>
      <c r="Z13">
        <v>3385</v>
      </c>
      <c r="AC13" t="s">
        <v>16</v>
      </c>
      <c r="AD13" t="s">
        <v>2</v>
      </c>
      <c r="AE13" t="s">
        <v>85</v>
      </c>
      <c r="AF13" t="str">
        <f t="shared" si="7"/>
        <v>YesYorkshire Water101-200</v>
      </c>
      <c r="AG13">
        <f t="shared" si="8"/>
        <v>2322</v>
      </c>
      <c r="AH13" t="s">
        <v>96</v>
      </c>
      <c r="AI13">
        <v>277</v>
      </c>
      <c r="AJ13">
        <v>1740</v>
      </c>
      <c r="AK13">
        <f t="shared" si="9"/>
        <v>2017</v>
      </c>
      <c r="AL13">
        <v>217</v>
      </c>
      <c r="AM13">
        <v>46</v>
      </c>
      <c r="AN13">
        <v>42</v>
      </c>
      <c r="AU13" t="s">
        <v>16</v>
      </c>
      <c r="AV13" t="s">
        <v>17</v>
      </c>
      <c r="AW13" t="s">
        <v>105</v>
      </c>
      <c r="AX13" t="str">
        <f t="shared" si="4"/>
        <v>YesNo25-32mm</v>
      </c>
      <c r="AY13">
        <v>389</v>
      </c>
      <c r="BB13" t="s">
        <v>16</v>
      </c>
      <c r="BC13" t="s">
        <v>116</v>
      </c>
      <c r="BD13" t="str">
        <f t="shared" si="2"/>
        <v>Yes8 Way</v>
      </c>
      <c r="BE13">
        <f t="shared" si="3"/>
        <v>3350</v>
      </c>
      <c r="BH13" t="s">
        <v>126</v>
      </c>
      <c r="BI13">
        <v>161</v>
      </c>
      <c r="BL13" t="s">
        <v>138</v>
      </c>
      <c r="BM13" t="s">
        <v>150</v>
      </c>
      <c r="BN13">
        <v>405</v>
      </c>
      <c r="BO13">
        <v>36</v>
      </c>
      <c r="BQ13" t="s">
        <v>161</v>
      </c>
      <c r="BR13" t="s">
        <v>163</v>
      </c>
      <c r="BS13" t="str">
        <f t="shared" si="0"/>
        <v>Cap150mm to &lt;300mm</v>
      </c>
      <c r="BT13">
        <v>2814</v>
      </c>
      <c r="BU13" t="s">
        <v>160</v>
      </c>
      <c r="BV13" t="s">
        <v>5</v>
      </c>
      <c r="BW13" t="s">
        <v>163</v>
      </c>
      <c r="BX13" t="str">
        <f t="shared" si="1"/>
        <v>DisconnectionFootpath150mm to &lt;300mm</v>
      </c>
      <c r="BY13">
        <v>2693</v>
      </c>
      <c r="BZ13">
        <v>279</v>
      </c>
      <c r="CA13">
        <v>180</v>
      </c>
    </row>
    <row r="14" spans="1:79" x14ac:dyDescent="0.35">
      <c r="A14" t="s">
        <v>2</v>
      </c>
      <c r="B14" t="s">
        <v>4</v>
      </c>
      <c r="C14" t="s">
        <v>11</v>
      </c>
      <c r="D14" t="str">
        <f t="shared" si="5"/>
        <v>Yorkshire WaterRoad450-560mmNo</v>
      </c>
      <c r="E14">
        <v>23278</v>
      </c>
      <c r="I14" t="s">
        <v>22</v>
      </c>
      <c r="J14">
        <v>452</v>
      </c>
      <c r="K14">
        <v>81</v>
      </c>
      <c r="O14" t="s">
        <v>71</v>
      </c>
      <c r="P14">
        <v>2633</v>
      </c>
      <c r="S14" t="s">
        <v>11</v>
      </c>
      <c r="T14">
        <v>2220</v>
      </c>
      <c r="W14" t="s">
        <v>2</v>
      </c>
      <c r="X14" t="s">
        <v>11</v>
      </c>
      <c r="Y14" t="str">
        <f t="shared" si="6"/>
        <v>Yorkshire Water450-560mm</v>
      </c>
      <c r="Z14">
        <v>7527</v>
      </c>
      <c r="AC14" t="s">
        <v>16</v>
      </c>
      <c r="AD14" t="s">
        <v>2</v>
      </c>
      <c r="AE14" t="s">
        <v>86</v>
      </c>
      <c r="AF14" t="str">
        <f t="shared" si="7"/>
        <v>YesYorkshire Water201+</v>
      </c>
      <c r="AG14">
        <f t="shared" si="8"/>
        <v>2864</v>
      </c>
      <c r="AH14" t="s">
        <v>97</v>
      </c>
      <c r="AI14">
        <v>277</v>
      </c>
      <c r="AJ14">
        <v>2282</v>
      </c>
      <c r="AK14">
        <f t="shared" si="9"/>
        <v>2559</v>
      </c>
      <c r="AL14">
        <v>217</v>
      </c>
      <c r="AM14">
        <v>46</v>
      </c>
      <c r="AN14">
        <v>42</v>
      </c>
      <c r="AU14" t="s">
        <v>16</v>
      </c>
      <c r="AV14" t="s">
        <v>17</v>
      </c>
      <c r="AW14" t="s">
        <v>106</v>
      </c>
      <c r="AX14" t="str">
        <f t="shared" si="4"/>
        <v>YesNo63-90mm</v>
      </c>
      <c r="AY14">
        <v>415</v>
      </c>
      <c r="BB14" t="s">
        <v>17</v>
      </c>
      <c r="BC14" t="s">
        <v>112</v>
      </c>
      <c r="BD14" t="str">
        <f t="shared" si="2"/>
        <v>No4 Way</v>
      </c>
      <c r="BE14">
        <v>2298</v>
      </c>
      <c r="BH14" t="s">
        <v>127</v>
      </c>
      <c r="BI14">
        <v>170</v>
      </c>
      <c r="BL14" t="s">
        <v>139</v>
      </c>
      <c r="BM14" t="s">
        <v>150</v>
      </c>
      <c r="BN14">
        <v>511</v>
      </c>
      <c r="BO14">
        <v>41</v>
      </c>
      <c r="BQ14" t="s">
        <v>161</v>
      </c>
      <c r="BR14" t="s">
        <v>164</v>
      </c>
      <c r="BS14" t="str">
        <f t="shared" si="0"/>
        <v>Cap300mm to &lt;450mm</v>
      </c>
      <c r="BT14">
        <v>4353</v>
      </c>
      <c r="BU14" t="s">
        <v>160</v>
      </c>
      <c r="BV14" t="s">
        <v>5</v>
      </c>
      <c r="BW14" t="s">
        <v>164</v>
      </c>
      <c r="BX14" t="str">
        <f t="shared" si="1"/>
        <v>DisconnectionFootpath300mm to &lt;450mm</v>
      </c>
      <c r="BY14">
        <v>4376</v>
      </c>
      <c r="BZ14">
        <v>279</v>
      </c>
      <c r="CA14">
        <v>180</v>
      </c>
    </row>
    <row r="15" spans="1:79" x14ac:dyDescent="0.35">
      <c r="A15" t="s">
        <v>2</v>
      </c>
      <c r="B15" t="s">
        <v>5</v>
      </c>
      <c r="C15" t="s">
        <v>8</v>
      </c>
      <c r="D15" t="str">
        <f t="shared" si="5"/>
        <v>Yorkshire WaterFootpath63-125mmNo</v>
      </c>
      <c r="E15">
        <v>2983</v>
      </c>
      <c r="I15" t="s">
        <v>23</v>
      </c>
      <c r="J15">
        <v>131</v>
      </c>
      <c r="K15">
        <v>25</v>
      </c>
      <c r="W15" t="s">
        <v>3</v>
      </c>
      <c r="X15" t="s">
        <v>8</v>
      </c>
      <c r="Y15" t="str">
        <f t="shared" si="6"/>
        <v>Customer63-125mm</v>
      </c>
      <c r="Z15">
        <v>493</v>
      </c>
      <c r="AC15" t="s">
        <v>16</v>
      </c>
      <c r="AD15" t="s">
        <v>82</v>
      </c>
      <c r="AE15" t="s">
        <v>83</v>
      </c>
      <c r="AF15" t="str">
        <f t="shared" si="7"/>
        <v>YesSLPNAV Scheme</v>
      </c>
      <c r="AG15">
        <f t="shared" si="8"/>
        <v>688</v>
      </c>
      <c r="AH15" t="s">
        <v>178</v>
      </c>
      <c r="AI15">
        <v>277</v>
      </c>
      <c r="AJ15">
        <v>152</v>
      </c>
      <c r="AK15">
        <f t="shared" si="9"/>
        <v>429</v>
      </c>
      <c r="AL15">
        <v>217</v>
      </c>
      <c r="AM15">
        <v>0</v>
      </c>
      <c r="AN15">
        <v>42</v>
      </c>
      <c r="AU15" t="s">
        <v>16</v>
      </c>
      <c r="AV15" t="s">
        <v>17</v>
      </c>
      <c r="AW15" t="s">
        <v>107</v>
      </c>
      <c r="AX15" t="str">
        <f t="shared" si="4"/>
        <v>YesNo110-125mm</v>
      </c>
      <c r="AY15">
        <v>441</v>
      </c>
      <c r="BB15" t="s">
        <v>17</v>
      </c>
      <c r="BC15" t="s">
        <v>113</v>
      </c>
      <c r="BD15" t="str">
        <f t="shared" si="2"/>
        <v>No5 Way</v>
      </c>
      <c r="BE15">
        <v>2514</v>
      </c>
      <c r="BH15" t="s">
        <v>128</v>
      </c>
      <c r="BI15">
        <v>384</v>
      </c>
      <c r="BL15" t="s">
        <v>141</v>
      </c>
      <c r="BM15" t="s">
        <v>151</v>
      </c>
      <c r="BO15">
        <v>214</v>
      </c>
      <c r="BQ15" t="s">
        <v>161</v>
      </c>
      <c r="BR15" t="s">
        <v>165</v>
      </c>
      <c r="BS15" t="str">
        <f t="shared" si="0"/>
        <v>Cap450mm to &lt;600mm</v>
      </c>
      <c r="BT15">
        <v>6570</v>
      </c>
      <c r="BU15" t="s">
        <v>160</v>
      </c>
      <c r="BV15" t="s">
        <v>5</v>
      </c>
      <c r="BW15" t="s">
        <v>165</v>
      </c>
      <c r="BX15" t="str">
        <f t="shared" si="1"/>
        <v>DisconnectionFootpath450mm to &lt;600mm</v>
      </c>
      <c r="BY15">
        <v>7674</v>
      </c>
      <c r="BZ15">
        <v>279</v>
      </c>
      <c r="CA15">
        <v>180</v>
      </c>
    </row>
    <row r="16" spans="1:79" x14ac:dyDescent="0.35">
      <c r="A16" t="s">
        <v>2</v>
      </c>
      <c r="B16" t="s">
        <v>5</v>
      </c>
      <c r="C16" t="s">
        <v>9</v>
      </c>
      <c r="D16" t="str">
        <f t="shared" si="5"/>
        <v>Yorkshire WaterFootpath160-225mmNo</v>
      </c>
      <c r="E16">
        <v>3953</v>
      </c>
      <c r="I16" t="s">
        <v>24</v>
      </c>
      <c r="J16">
        <v>220</v>
      </c>
      <c r="K16">
        <v>34</v>
      </c>
      <c r="W16" t="s">
        <v>3</v>
      </c>
      <c r="X16" t="s">
        <v>9</v>
      </c>
      <c r="Y16" t="str">
        <f t="shared" si="6"/>
        <v>Customer160-225mm</v>
      </c>
      <c r="Z16">
        <v>1337</v>
      </c>
      <c r="AC16" t="s">
        <v>16</v>
      </c>
      <c r="AD16" t="s">
        <v>82</v>
      </c>
      <c r="AE16" t="s">
        <v>84</v>
      </c>
      <c r="AF16" t="str">
        <f t="shared" si="7"/>
        <v>YesSLP1-100</v>
      </c>
      <c r="AG16">
        <f t="shared" si="8"/>
        <v>717</v>
      </c>
      <c r="AH16" t="s">
        <v>177</v>
      </c>
      <c r="AI16">
        <v>277</v>
      </c>
      <c r="AJ16">
        <v>181</v>
      </c>
      <c r="AK16">
        <f t="shared" si="9"/>
        <v>458</v>
      </c>
      <c r="AL16">
        <v>217</v>
      </c>
      <c r="AM16">
        <v>0</v>
      </c>
      <c r="AN16">
        <v>42</v>
      </c>
      <c r="AU16" t="s">
        <v>17</v>
      </c>
      <c r="AV16" t="s">
        <v>16</v>
      </c>
      <c r="AW16" t="s">
        <v>105</v>
      </c>
      <c r="AX16" t="str">
        <f t="shared" si="4"/>
        <v>NoYes25-32mm</v>
      </c>
      <c r="AY16">
        <v>386</v>
      </c>
      <c r="BB16" t="s">
        <v>17</v>
      </c>
      <c r="BC16" t="s">
        <v>114</v>
      </c>
      <c r="BD16" t="str">
        <f t="shared" si="2"/>
        <v>No6 Way</v>
      </c>
      <c r="BE16">
        <v>2643</v>
      </c>
      <c r="BH16" t="s">
        <v>129</v>
      </c>
      <c r="BI16">
        <v>442</v>
      </c>
      <c r="BL16" t="s">
        <v>142</v>
      </c>
      <c r="BM16" t="s">
        <v>151</v>
      </c>
      <c r="BO16">
        <v>281</v>
      </c>
      <c r="BU16" t="s">
        <v>160</v>
      </c>
      <c r="BV16" t="s">
        <v>6</v>
      </c>
      <c r="BW16" t="s">
        <v>162</v>
      </c>
      <c r="BX16" t="str">
        <f t="shared" si="1"/>
        <v>DisconnectionUnmade GroundUnder 150mm</v>
      </c>
      <c r="BY16">
        <v>2181</v>
      </c>
      <c r="BZ16">
        <v>260</v>
      </c>
      <c r="CA16">
        <v>168</v>
      </c>
    </row>
    <row r="17" spans="1:79" x14ac:dyDescent="0.35">
      <c r="A17" t="s">
        <v>2</v>
      </c>
      <c r="B17" t="s">
        <v>5</v>
      </c>
      <c r="C17" t="s">
        <v>10</v>
      </c>
      <c r="D17" t="str">
        <f t="shared" si="5"/>
        <v>Yorkshire WaterFootpath250-400mmNo</v>
      </c>
      <c r="E17">
        <v>9575</v>
      </c>
      <c r="I17" t="s">
        <v>25</v>
      </c>
      <c r="J17">
        <v>267</v>
      </c>
      <c r="K17">
        <v>54</v>
      </c>
      <c r="W17" t="s">
        <v>3</v>
      </c>
      <c r="X17" t="s">
        <v>10</v>
      </c>
      <c r="Y17" t="str">
        <f t="shared" si="6"/>
        <v>Customer250-400mm</v>
      </c>
      <c r="Z17">
        <v>3406</v>
      </c>
      <c r="AC17" t="s">
        <v>16</v>
      </c>
      <c r="AD17" t="s">
        <v>82</v>
      </c>
      <c r="AE17" t="s">
        <v>85</v>
      </c>
      <c r="AF17" t="str">
        <f t="shared" si="7"/>
        <v>YesSLP101-200</v>
      </c>
      <c r="AG17">
        <f t="shared" si="8"/>
        <v>778</v>
      </c>
      <c r="AH17" t="s">
        <v>176</v>
      </c>
      <c r="AI17">
        <v>277</v>
      </c>
      <c r="AJ17">
        <v>242</v>
      </c>
      <c r="AK17">
        <f t="shared" si="9"/>
        <v>519</v>
      </c>
      <c r="AL17">
        <v>217</v>
      </c>
      <c r="AM17">
        <v>0</v>
      </c>
      <c r="AN17">
        <v>42</v>
      </c>
      <c r="AU17" t="s">
        <v>17</v>
      </c>
      <c r="AV17" t="s">
        <v>16</v>
      </c>
      <c r="AW17" t="s">
        <v>106</v>
      </c>
      <c r="AX17" t="str">
        <f t="shared" si="4"/>
        <v>NoYes63-90mm</v>
      </c>
      <c r="AY17">
        <v>415</v>
      </c>
      <c r="BB17" t="s">
        <v>17</v>
      </c>
      <c r="BC17" t="s">
        <v>115</v>
      </c>
      <c r="BD17" t="str">
        <f t="shared" si="2"/>
        <v>No7 Way</v>
      </c>
      <c r="BE17">
        <v>2911</v>
      </c>
      <c r="BH17" t="s">
        <v>130</v>
      </c>
      <c r="BI17">
        <v>40</v>
      </c>
      <c r="BL17" t="s">
        <v>143</v>
      </c>
      <c r="BM17" t="s">
        <v>151</v>
      </c>
      <c r="BO17">
        <v>529</v>
      </c>
      <c r="BU17" t="s">
        <v>160</v>
      </c>
      <c r="BV17" t="s">
        <v>6</v>
      </c>
      <c r="BW17" t="s">
        <v>163</v>
      </c>
      <c r="BX17" t="str">
        <f t="shared" si="1"/>
        <v>DisconnectionUnmade Ground150mm to &lt;300mm</v>
      </c>
      <c r="BY17">
        <v>2599</v>
      </c>
      <c r="BZ17">
        <v>260</v>
      </c>
      <c r="CA17">
        <v>168</v>
      </c>
    </row>
    <row r="18" spans="1:79" x14ac:dyDescent="0.35">
      <c r="A18" t="s">
        <v>2</v>
      </c>
      <c r="B18" t="s">
        <v>5</v>
      </c>
      <c r="C18" t="s">
        <v>11</v>
      </c>
      <c r="D18" t="str">
        <f t="shared" si="5"/>
        <v>Yorkshire WaterFootpath450-560mmNo</v>
      </c>
      <c r="E18">
        <v>23100</v>
      </c>
      <c r="I18" t="s">
        <v>26</v>
      </c>
      <c r="J18">
        <v>375</v>
      </c>
      <c r="K18">
        <v>81</v>
      </c>
      <c r="W18" t="s">
        <v>3</v>
      </c>
      <c r="X18" t="s">
        <v>11</v>
      </c>
      <c r="Y18" t="str">
        <f t="shared" si="6"/>
        <v>Customer450-560mm</v>
      </c>
      <c r="Z18">
        <v>7473</v>
      </c>
      <c r="AC18" t="s">
        <v>16</v>
      </c>
      <c r="AD18" t="s">
        <v>82</v>
      </c>
      <c r="AE18" t="s">
        <v>86</v>
      </c>
      <c r="AF18" t="str">
        <f t="shared" si="7"/>
        <v>YesSLP201+</v>
      </c>
      <c r="AG18">
        <f t="shared" si="8"/>
        <v>839</v>
      </c>
      <c r="AH18" t="s">
        <v>175</v>
      </c>
      <c r="AI18">
        <v>277</v>
      </c>
      <c r="AJ18">
        <v>303</v>
      </c>
      <c r="AK18">
        <f t="shared" si="9"/>
        <v>580</v>
      </c>
      <c r="AL18">
        <v>217</v>
      </c>
      <c r="AM18">
        <v>0</v>
      </c>
      <c r="AN18">
        <v>42</v>
      </c>
      <c r="AU18" t="s">
        <v>17</v>
      </c>
      <c r="AV18" t="s">
        <v>16</v>
      </c>
      <c r="AW18" t="s">
        <v>107</v>
      </c>
      <c r="AX18" t="str">
        <f t="shared" si="4"/>
        <v>NoYes110-125mm</v>
      </c>
      <c r="AY18">
        <v>444</v>
      </c>
      <c r="BB18" t="s">
        <v>17</v>
      </c>
      <c r="BC18" t="s">
        <v>116</v>
      </c>
      <c r="BD18" t="str">
        <f t="shared" si="2"/>
        <v>No8 Way</v>
      </c>
      <c r="BE18">
        <v>3292</v>
      </c>
      <c r="BL18" t="s">
        <v>144</v>
      </c>
      <c r="BM18" t="s">
        <v>151</v>
      </c>
      <c r="BO18">
        <v>1322</v>
      </c>
      <c r="BU18" t="s">
        <v>160</v>
      </c>
      <c r="BV18" t="s">
        <v>6</v>
      </c>
      <c r="BW18" t="s">
        <v>164</v>
      </c>
      <c r="BX18" t="str">
        <f t="shared" si="1"/>
        <v>DisconnectionUnmade Ground300mm to &lt;450mm</v>
      </c>
      <c r="BY18">
        <v>4172</v>
      </c>
      <c r="BZ18">
        <v>260</v>
      </c>
      <c r="CA18">
        <v>168</v>
      </c>
    </row>
    <row r="19" spans="1:79" x14ac:dyDescent="0.35">
      <c r="A19" t="s">
        <v>2</v>
      </c>
      <c r="B19" t="s">
        <v>6</v>
      </c>
      <c r="C19" t="s">
        <v>8</v>
      </c>
      <c r="D19" t="str">
        <f t="shared" si="5"/>
        <v>Yorkshire WaterUnmade Ground63-125mmNo</v>
      </c>
      <c r="E19">
        <v>2870</v>
      </c>
      <c r="I19" t="s">
        <v>27</v>
      </c>
      <c r="J19">
        <v>87</v>
      </c>
      <c r="K19">
        <v>25</v>
      </c>
      <c r="AC19" t="s">
        <v>17</v>
      </c>
      <c r="AD19" t="s">
        <v>2</v>
      </c>
      <c r="AE19" t="s">
        <v>83</v>
      </c>
      <c r="AF19" t="str">
        <f t="shared" si="7"/>
        <v>NoYorkshire WaterNAV Scheme</v>
      </c>
      <c r="AG19">
        <f t="shared" si="8"/>
        <v>758</v>
      </c>
      <c r="AH19" t="s">
        <v>88</v>
      </c>
      <c r="AI19">
        <v>50</v>
      </c>
      <c r="AJ19">
        <v>445</v>
      </c>
      <c r="AK19">
        <f t="shared" si="9"/>
        <v>495</v>
      </c>
      <c r="AL19">
        <v>217</v>
      </c>
      <c r="AM19">
        <v>46</v>
      </c>
      <c r="AN19">
        <v>0</v>
      </c>
      <c r="AU19" t="s">
        <v>17</v>
      </c>
      <c r="AV19" t="s">
        <v>17</v>
      </c>
      <c r="AW19" t="s">
        <v>105</v>
      </c>
      <c r="AX19" t="str">
        <f t="shared" si="4"/>
        <v>NoNo25-32mm</v>
      </c>
      <c r="AY19">
        <v>360</v>
      </c>
      <c r="BU19" t="s">
        <v>160</v>
      </c>
      <c r="BV19" t="s">
        <v>6</v>
      </c>
      <c r="BW19" t="s">
        <v>165</v>
      </c>
      <c r="BX19" t="str">
        <f t="shared" si="1"/>
        <v>DisconnectionUnmade Ground450mm to &lt;600mm</v>
      </c>
      <c r="BY19">
        <v>7255</v>
      </c>
      <c r="BZ19">
        <v>260</v>
      </c>
      <c r="CA19">
        <v>168</v>
      </c>
    </row>
    <row r="20" spans="1:79" x14ac:dyDescent="0.35">
      <c r="A20" t="s">
        <v>2</v>
      </c>
      <c r="B20" t="s">
        <v>6</v>
      </c>
      <c r="C20" t="s">
        <v>9</v>
      </c>
      <c r="D20" t="str">
        <f t="shared" si="5"/>
        <v>Yorkshire WaterUnmade Ground160-225mmNo</v>
      </c>
      <c r="E20">
        <v>3776</v>
      </c>
      <c r="I20" t="s">
        <v>28</v>
      </c>
      <c r="J20">
        <v>146</v>
      </c>
      <c r="K20">
        <v>34</v>
      </c>
      <c r="AC20" t="s">
        <v>17</v>
      </c>
      <c r="AD20" t="s">
        <v>2</v>
      </c>
      <c r="AE20" t="s">
        <v>84</v>
      </c>
      <c r="AF20" t="str">
        <f t="shared" si="7"/>
        <v>NoYorkshire Water1-100</v>
      </c>
      <c r="AG20">
        <f t="shared" si="8"/>
        <v>1920</v>
      </c>
      <c r="AH20" t="s">
        <v>87</v>
      </c>
      <c r="AI20">
        <v>277</v>
      </c>
      <c r="AJ20">
        <v>1380</v>
      </c>
      <c r="AK20">
        <f t="shared" si="9"/>
        <v>1657</v>
      </c>
      <c r="AL20">
        <v>217</v>
      </c>
      <c r="AM20">
        <v>46</v>
      </c>
      <c r="AN20">
        <v>0</v>
      </c>
      <c r="AU20" t="s">
        <v>17</v>
      </c>
      <c r="AV20" t="s">
        <v>17</v>
      </c>
      <c r="AW20" t="s">
        <v>106</v>
      </c>
      <c r="AX20" t="str">
        <f t="shared" si="4"/>
        <v>NoNo63-90mm</v>
      </c>
      <c r="AY20">
        <v>386</v>
      </c>
      <c r="BU20" t="s">
        <v>161</v>
      </c>
      <c r="BV20" t="s">
        <v>4</v>
      </c>
      <c r="BW20" t="s">
        <v>162</v>
      </c>
      <c r="BX20" t="str">
        <f t="shared" si="1"/>
        <v>CapRoadUnder 150mm</v>
      </c>
      <c r="BY20">
        <v>2528</v>
      </c>
      <c r="BZ20">
        <v>281</v>
      </c>
      <c r="CA20">
        <v>281</v>
      </c>
    </row>
    <row r="21" spans="1:79" x14ac:dyDescent="0.35">
      <c r="A21" t="s">
        <v>2</v>
      </c>
      <c r="B21" t="s">
        <v>6</v>
      </c>
      <c r="C21" t="s">
        <v>10</v>
      </c>
      <c r="D21" t="str">
        <f t="shared" si="5"/>
        <v>Yorkshire WaterUnmade Ground250-400mmNo</v>
      </c>
      <c r="E21">
        <v>9031</v>
      </c>
      <c r="I21" t="s">
        <v>29</v>
      </c>
      <c r="J21">
        <v>177</v>
      </c>
      <c r="K21">
        <v>54</v>
      </c>
      <c r="AC21" t="s">
        <v>17</v>
      </c>
      <c r="AD21" t="s">
        <v>2</v>
      </c>
      <c r="AE21" t="s">
        <v>85</v>
      </c>
      <c r="AF21" t="str">
        <f t="shared" si="7"/>
        <v>NoYorkshire Water101-200</v>
      </c>
      <c r="AG21">
        <f t="shared" si="8"/>
        <v>2280</v>
      </c>
      <c r="AH21" t="s">
        <v>89</v>
      </c>
      <c r="AI21">
        <v>277</v>
      </c>
      <c r="AJ21">
        <v>1740</v>
      </c>
      <c r="AK21">
        <f t="shared" si="9"/>
        <v>2017</v>
      </c>
      <c r="AL21">
        <v>217</v>
      </c>
      <c r="AM21">
        <v>46</v>
      </c>
      <c r="AN21">
        <v>0</v>
      </c>
      <c r="AU21" t="s">
        <v>17</v>
      </c>
      <c r="AV21" t="s">
        <v>17</v>
      </c>
      <c r="AW21" t="s">
        <v>107</v>
      </c>
      <c r="AX21" t="str">
        <f t="shared" si="4"/>
        <v>NoNo110-125mm</v>
      </c>
      <c r="AY21">
        <v>412</v>
      </c>
      <c r="BU21" t="s">
        <v>161</v>
      </c>
      <c r="BV21" t="s">
        <v>4</v>
      </c>
      <c r="BW21" t="s">
        <v>163</v>
      </c>
      <c r="BX21" t="str">
        <f t="shared" si="1"/>
        <v>CapRoad150mm to &lt;300mm</v>
      </c>
      <c r="BY21">
        <v>2995</v>
      </c>
      <c r="BZ21">
        <v>281</v>
      </c>
      <c r="CA21">
        <v>281</v>
      </c>
    </row>
    <row r="22" spans="1:79" x14ac:dyDescent="0.35">
      <c r="A22" t="s">
        <v>2</v>
      </c>
      <c r="B22" t="s">
        <v>6</v>
      </c>
      <c r="C22" t="s">
        <v>11</v>
      </c>
      <c r="D22" t="str">
        <f t="shared" si="5"/>
        <v>Yorkshire WaterUnmade Ground450-560mmNo</v>
      </c>
      <c r="E22">
        <v>21671</v>
      </c>
      <c r="I22" t="s">
        <v>30</v>
      </c>
      <c r="J22">
        <v>249</v>
      </c>
      <c r="K22">
        <v>81</v>
      </c>
      <c r="AC22" t="s">
        <v>17</v>
      </c>
      <c r="AD22" t="s">
        <v>2</v>
      </c>
      <c r="AE22" t="s">
        <v>86</v>
      </c>
      <c r="AF22" t="str">
        <f t="shared" si="7"/>
        <v>NoYorkshire Water201+</v>
      </c>
      <c r="AG22">
        <f t="shared" si="8"/>
        <v>3362</v>
      </c>
      <c r="AH22" t="s">
        <v>90</v>
      </c>
      <c r="AI22">
        <v>277</v>
      </c>
      <c r="AJ22">
        <v>2822</v>
      </c>
      <c r="AK22">
        <f t="shared" si="9"/>
        <v>3099</v>
      </c>
      <c r="AL22">
        <v>217</v>
      </c>
      <c r="AM22">
        <v>46</v>
      </c>
      <c r="AN22">
        <v>0</v>
      </c>
      <c r="BU22" t="s">
        <v>161</v>
      </c>
      <c r="BV22" t="s">
        <v>4</v>
      </c>
      <c r="BW22" t="s">
        <v>164</v>
      </c>
      <c r="BX22" t="str">
        <f t="shared" si="1"/>
        <v>CapRoad300mm to &lt;450mm</v>
      </c>
      <c r="BY22">
        <v>5164</v>
      </c>
      <c r="BZ22">
        <v>281</v>
      </c>
      <c r="CA22">
        <v>281</v>
      </c>
    </row>
    <row r="23" spans="1:79" x14ac:dyDescent="0.35">
      <c r="A23" t="s">
        <v>3</v>
      </c>
      <c r="B23" t="s">
        <v>4</v>
      </c>
      <c r="C23" t="s">
        <v>8</v>
      </c>
      <c r="D23" t="str">
        <f t="shared" si="5"/>
        <v>CustomerRoad63-125mmNo</v>
      </c>
      <c r="E23">
        <v>2681</v>
      </c>
      <c r="I23" t="s">
        <v>31</v>
      </c>
      <c r="J23">
        <v>28</v>
      </c>
      <c r="K23">
        <v>25</v>
      </c>
      <c r="AC23" t="s">
        <v>17</v>
      </c>
      <c r="AD23" t="s">
        <v>82</v>
      </c>
      <c r="AE23" t="s">
        <v>83</v>
      </c>
      <c r="AF23" t="str">
        <f t="shared" si="7"/>
        <v>NoSLPNAV Scheme</v>
      </c>
      <c r="AG23" t="s">
        <v>103</v>
      </c>
      <c r="AK23" t="s">
        <v>103</v>
      </c>
      <c r="AM23" t="s">
        <v>103</v>
      </c>
      <c r="AN23" t="s">
        <v>103</v>
      </c>
      <c r="BU23" t="s">
        <v>161</v>
      </c>
      <c r="BV23" t="s">
        <v>4</v>
      </c>
      <c r="BW23" t="s">
        <v>165</v>
      </c>
      <c r="BX23" t="str">
        <f t="shared" si="1"/>
        <v>CapRoad450mm to &lt;600mm</v>
      </c>
      <c r="BY23">
        <v>8946</v>
      </c>
      <c r="BZ23">
        <v>281</v>
      </c>
      <c r="CA23">
        <v>281</v>
      </c>
    </row>
    <row r="24" spans="1:79" x14ac:dyDescent="0.35">
      <c r="A24" t="s">
        <v>3</v>
      </c>
      <c r="B24" t="s">
        <v>4</v>
      </c>
      <c r="C24" t="s">
        <v>9</v>
      </c>
      <c r="D24" t="str">
        <f t="shared" si="5"/>
        <v>CustomerRoad160-225mmNo</v>
      </c>
      <c r="E24">
        <v>3444</v>
      </c>
      <c r="I24" t="s">
        <v>32</v>
      </c>
      <c r="J24">
        <v>68</v>
      </c>
      <c r="K24">
        <v>34</v>
      </c>
      <c r="AC24" t="s">
        <v>17</v>
      </c>
      <c r="AD24" t="s">
        <v>82</v>
      </c>
      <c r="AE24" t="s">
        <v>84</v>
      </c>
      <c r="AF24" t="str">
        <f t="shared" si="7"/>
        <v>NoSLP1-100</v>
      </c>
      <c r="AG24" t="s">
        <v>103</v>
      </c>
      <c r="AK24" t="s">
        <v>103</v>
      </c>
      <c r="AM24" t="s">
        <v>103</v>
      </c>
      <c r="AN24" t="s">
        <v>103</v>
      </c>
      <c r="BU24" t="s">
        <v>161</v>
      </c>
      <c r="BV24" t="s">
        <v>5</v>
      </c>
      <c r="BW24" t="s">
        <v>162</v>
      </c>
      <c r="BX24" t="str">
        <f t="shared" si="1"/>
        <v>CapFootpathUnder 150mm</v>
      </c>
      <c r="BY24">
        <v>2518</v>
      </c>
      <c r="BZ24">
        <v>279</v>
      </c>
      <c r="CA24">
        <v>279</v>
      </c>
    </row>
    <row r="25" spans="1:79" x14ac:dyDescent="0.35">
      <c r="A25" t="s">
        <v>3</v>
      </c>
      <c r="B25" t="s">
        <v>4</v>
      </c>
      <c r="C25" t="s">
        <v>10</v>
      </c>
      <c r="D25" t="str">
        <f t="shared" si="5"/>
        <v>CustomerRoad250-400mmNo</v>
      </c>
      <c r="E25">
        <v>8999</v>
      </c>
      <c r="I25" t="s">
        <v>33</v>
      </c>
      <c r="J25">
        <v>164</v>
      </c>
      <c r="K25">
        <v>54</v>
      </c>
      <c r="AC25" t="s">
        <v>17</v>
      </c>
      <c r="AD25" t="s">
        <v>82</v>
      </c>
      <c r="AE25" t="s">
        <v>85</v>
      </c>
      <c r="AF25" t="str">
        <f t="shared" si="7"/>
        <v>NoSLP101-200</v>
      </c>
      <c r="AG25" t="s">
        <v>103</v>
      </c>
      <c r="AK25" t="s">
        <v>103</v>
      </c>
      <c r="AM25" t="s">
        <v>103</v>
      </c>
      <c r="AN25" t="s">
        <v>103</v>
      </c>
      <c r="BU25" t="s">
        <v>161</v>
      </c>
      <c r="BV25" t="s">
        <v>5</v>
      </c>
      <c r="BW25" t="s">
        <v>163</v>
      </c>
      <c r="BX25" t="str">
        <f t="shared" si="1"/>
        <v>CapFootpath150mm to &lt;300mm</v>
      </c>
      <c r="BY25">
        <v>2981</v>
      </c>
      <c r="BZ25">
        <v>279</v>
      </c>
      <c r="CA25">
        <v>279</v>
      </c>
    </row>
    <row r="26" spans="1:79" x14ac:dyDescent="0.35">
      <c r="A26" t="s">
        <v>3</v>
      </c>
      <c r="B26" t="s">
        <v>4</v>
      </c>
      <c r="C26" t="s">
        <v>11</v>
      </c>
      <c r="D26" t="str">
        <f t="shared" si="5"/>
        <v>CustomerRoad450-560mmNo</v>
      </c>
      <c r="E26">
        <v>21017</v>
      </c>
      <c r="I26" t="s">
        <v>34</v>
      </c>
      <c r="J26">
        <v>236</v>
      </c>
      <c r="K26">
        <v>81</v>
      </c>
      <c r="AC26" t="s">
        <v>17</v>
      </c>
      <c r="AD26" t="s">
        <v>82</v>
      </c>
      <c r="AE26" t="s">
        <v>86</v>
      </c>
      <c r="AF26" t="str">
        <f t="shared" si="7"/>
        <v>NoSLP201+</v>
      </c>
      <c r="AG26" t="s">
        <v>103</v>
      </c>
      <c r="AK26" t="s">
        <v>103</v>
      </c>
      <c r="AM26" t="s">
        <v>103</v>
      </c>
      <c r="AN26" t="s">
        <v>103</v>
      </c>
      <c r="BU26" t="s">
        <v>161</v>
      </c>
      <c r="BV26" t="s">
        <v>5</v>
      </c>
      <c r="BW26" t="s">
        <v>164</v>
      </c>
      <c r="BX26" t="str">
        <f t="shared" si="1"/>
        <v>CapFootpath300mm to &lt;450mm</v>
      </c>
      <c r="BY26">
        <v>5132</v>
      </c>
      <c r="BZ26">
        <v>279</v>
      </c>
      <c r="CA26">
        <v>279</v>
      </c>
    </row>
    <row r="27" spans="1:79" x14ac:dyDescent="0.35">
      <c r="A27" t="s">
        <v>3</v>
      </c>
      <c r="B27" t="s">
        <v>5</v>
      </c>
      <c r="C27" t="s">
        <v>8</v>
      </c>
      <c r="D27" t="str">
        <f t="shared" si="5"/>
        <v>CustomerFootpath63-125mmNo</v>
      </c>
      <c r="E27">
        <v>2681</v>
      </c>
      <c r="I27" t="s">
        <v>35</v>
      </c>
      <c r="J27">
        <v>28</v>
      </c>
      <c r="K27">
        <v>25</v>
      </c>
      <c r="BU27" t="s">
        <v>161</v>
      </c>
      <c r="BV27" t="s">
        <v>5</v>
      </c>
      <c r="BW27" t="s">
        <v>165</v>
      </c>
      <c r="BX27" t="str">
        <f t="shared" si="1"/>
        <v>CapFootpath450mm to &lt;600mm</v>
      </c>
      <c r="BY27">
        <v>8884</v>
      </c>
      <c r="BZ27">
        <v>279</v>
      </c>
      <c r="CA27">
        <v>279</v>
      </c>
    </row>
    <row r="28" spans="1:79" x14ac:dyDescent="0.35">
      <c r="A28" t="s">
        <v>3</v>
      </c>
      <c r="B28" t="s">
        <v>5</v>
      </c>
      <c r="C28" t="s">
        <v>9</v>
      </c>
      <c r="D28" t="str">
        <f t="shared" si="5"/>
        <v>CustomerFootpath160-225mmNo</v>
      </c>
      <c r="E28">
        <v>3444</v>
      </c>
      <c r="I28" t="s">
        <v>36</v>
      </c>
      <c r="J28">
        <v>68</v>
      </c>
      <c r="K28">
        <v>34</v>
      </c>
      <c r="BU28" t="s">
        <v>161</v>
      </c>
      <c r="BV28" t="s">
        <v>6</v>
      </c>
      <c r="BW28" t="s">
        <v>162</v>
      </c>
      <c r="BX28" t="str">
        <f t="shared" si="1"/>
        <v>CapUnmade GroundUnder 150mm</v>
      </c>
      <c r="BY28">
        <v>2436</v>
      </c>
      <c r="BZ28">
        <v>260</v>
      </c>
      <c r="CA28">
        <v>260</v>
      </c>
    </row>
    <row r="29" spans="1:79" x14ac:dyDescent="0.35">
      <c r="A29" t="s">
        <v>3</v>
      </c>
      <c r="B29" t="s">
        <v>5</v>
      </c>
      <c r="C29" t="s">
        <v>10</v>
      </c>
      <c r="D29" t="str">
        <f t="shared" si="5"/>
        <v>CustomerFootpath250-400mmNo</v>
      </c>
      <c r="E29">
        <v>8999</v>
      </c>
      <c r="I29" t="s">
        <v>37</v>
      </c>
      <c r="J29">
        <v>164</v>
      </c>
      <c r="K29">
        <v>54</v>
      </c>
      <c r="BU29" t="s">
        <v>161</v>
      </c>
      <c r="BV29" t="s">
        <v>6</v>
      </c>
      <c r="BW29" t="s">
        <v>163</v>
      </c>
      <c r="BX29" t="str">
        <f t="shared" si="1"/>
        <v>CapUnmade Ground150mm to &lt;300mm</v>
      </c>
      <c r="BY29">
        <v>2869</v>
      </c>
      <c r="BZ29">
        <v>260</v>
      </c>
      <c r="CA29">
        <v>260</v>
      </c>
    </row>
    <row r="30" spans="1:79" x14ac:dyDescent="0.35">
      <c r="A30" t="s">
        <v>3</v>
      </c>
      <c r="B30" t="s">
        <v>5</v>
      </c>
      <c r="C30" t="s">
        <v>11</v>
      </c>
      <c r="D30" t="str">
        <f t="shared" si="5"/>
        <v>CustomerFootpath450-560mmNo</v>
      </c>
      <c r="E30">
        <v>21017</v>
      </c>
      <c r="I30" t="s">
        <v>38</v>
      </c>
      <c r="J30">
        <v>236</v>
      </c>
      <c r="K30">
        <v>81</v>
      </c>
      <c r="BU30" t="s">
        <v>161</v>
      </c>
      <c r="BV30" t="s">
        <v>6</v>
      </c>
      <c r="BW30" t="s">
        <v>164</v>
      </c>
      <c r="BX30" t="str">
        <f t="shared" si="1"/>
        <v>CapUnmade Ground300mm to &lt;450mm</v>
      </c>
      <c r="BY30">
        <v>4879</v>
      </c>
      <c r="BZ30">
        <v>260</v>
      </c>
      <c r="CA30">
        <v>260</v>
      </c>
    </row>
    <row r="31" spans="1:79" x14ac:dyDescent="0.35">
      <c r="A31" t="s">
        <v>3</v>
      </c>
      <c r="B31" t="s">
        <v>6</v>
      </c>
      <c r="C31" t="s">
        <v>8</v>
      </c>
      <c r="D31" t="str">
        <f t="shared" si="5"/>
        <v>CustomerUnmade Ground63-125mmNo</v>
      </c>
      <c r="E31">
        <v>2681</v>
      </c>
      <c r="I31" t="s">
        <v>39</v>
      </c>
      <c r="J31">
        <v>28</v>
      </c>
      <c r="K31">
        <v>25</v>
      </c>
      <c r="BU31" t="s">
        <v>161</v>
      </c>
      <c r="BV31" t="s">
        <v>6</v>
      </c>
      <c r="BW31" t="s">
        <v>165</v>
      </c>
      <c r="BX31" t="str">
        <f t="shared" si="1"/>
        <v>CapUnmade Ground450mm to &lt;600mm</v>
      </c>
      <c r="BY31">
        <v>8385</v>
      </c>
      <c r="BZ31">
        <v>260</v>
      </c>
      <c r="CA31">
        <v>260</v>
      </c>
    </row>
    <row r="32" spans="1:79" x14ac:dyDescent="0.35">
      <c r="A32" t="s">
        <v>3</v>
      </c>
      <c r="B32" t="s">
        <v>6</v>
      </c>
      <c r="C32" t="s">
        <v>9</v>
      </c>
      <c r="D32" t="str">
        <f t="shared" si="5"/>
        <v>CustomerUnmade Ground160-225mmNo</v>
      </c>
      <c r="E32">
        <v>3444</v>
      </c>
      <c r="I32" t="s">
        <v>40</v>
      </c>
      <c r="J32">
        <v>68</v>
      </c>
      <c r="K32">
        <v>34</v>
      </c>
    </row>
    <row r="33" spans="1:11" x14ac:dyDescent="0.35">
      <c r="A33" t="s">
        <v>3</v>
      </c>
      <c r="B33" t="s">
        <v>6</v>
      </c>
      <c r="C33" t="s">
        <v>10</v>
      </c>
      <c r="D33" t="str">
        <f t="shared" si="5"/>
        <v>CustomerUnmade Ground250-400mmNo</v>
      </c>
      <c r="E33">
        <v>8999</v>
      </c>
      <c r="I33" t="s">
        <v>41</v>
      </c>
      <c r="J33">
        <v>164</v>
      </c>
      <c r="K33">
        <v>54</v>
      </c>
    </row>
    <row r="34" spans="1:11" x14ac:dyDescent="0.35">
      <c r="A34" t="s">
        <v>3</v>
      </c>
      <c r="B34" t="s">
        <v>6</v>
      </c>
      <c r="C34" t="s">
        <v>11</v>
      </c>
      <c r="D34" t="str">
        <f t="shared" si="5"/>
        <v>CustomerUnmade Ground450-560mmNo</v>
      </c>
      <c r="E34">
        <v>21017</v>
      </c>
      <c r="I34" t="s">
        <v>42</v>
      </c>
      <c r="J34">
        <v>236</v>
      </c>
      <c r="K34">
        <v>81</v>
      </c>
    </row>
    <row r="35" spans="1:11" x14ac:dyDescent="0.35">
      <c r="A35" t="s">
        <v>2</v>
      </c>
      <c r="B35" t="s">
        <v>4</v>
      </c>
      <c r="C35" t="s">
        <v>8</v>
      </c>
      <c r="D35" t="str">
        <f>A35&amp;B35&amp;C35&amp;"Yes"</f>
        <v>Yorkshire WaterRoad63-125mmYes</v>
      </c>
      <c r="E35">
        <f>E11+50</f>
        <v>3047</v>
      </c>
      <c r="I35" t="s">
        <v>43</v>
      </c>
      <c r="J35">
        <v>158</v>
      </c>
      <c r="K35">
        <v>0</v>
      </c>
    </row>
    <row r="36" spans="1:11" x14ac:dyDescent="0.35">
      <c r="A36" t="s">
        <v>2</v>
      </c>
      <c r="B36" t="s">
        <v>4</v>
      </c>
      <c r="C36" t="s">
        <v>9</v>
      </c>
      <c r="D36" t="str">
        <f t="shared" ref="D36:D58" si="10">A36&amp;B36&amp;C36&amp;"Yes"</f>
        <v>Yorkshire WaterRoad160-225mmYes</v>
      </c>
      <c r="E36">
        <f>E12+68</f>
        <v>4043</v>
      </c>
      <c r="I36" t="s">
        <v>44</v>
      </c>
      <c r="J36">
        <v>265</v>
      </c>
      <c r="K36">
        <v>0</v>
      </c>
    </row>
    <row r="37" spans="1:11" x14ac:dyDescent="0.35">
      <c r="A37" t="s">
        <v>2</v>
      </c>
      <c r="B37" t="s">
        <v>4</v>
      </c>
      <c r="C37" t="s">
        <v>10</v>
      </c>
      <c r="D37" t="str">
        <f t="shared" si="10"/>
        <v>Yorkshire WaterRoad250-400mmYes</v>
      </c>
      <c r="E37">
        <f>E13+108</f>
        <v>9751</v>
      </c>
      <c r="I37" t="s">
        <v>45</v>
      </c>
      <c r="J37">
        <v>322</v>
      </c>
      <c r="K37">
        <v>0</v>
      </c>
    </row>
    <row r="38" spans="1:11" x14ac:dyDescent="0.35">
      <c r="A38" t="s">
        <v>2</v>
      </c>
      <c r="B38" t="s">
        <v>4</v>
      </c>
      <c r="C38" t="s">
        <v>11</v>
      </c>
      <c r="D38" t="str">
        <f t="shared" si="10"/>
        <v>Yorkshire WaterRoad450-560mmYes</v>
      </c>
      <c r="E38">
        <f>E14+162</f>
        <v>23440</v>
      </c>
      <c r="I38" t="s">
        <v>46</v>
      </c>
      <c r="J38">
        <v>452</v>
      </c>
      <c r="K38">
        <v>0</v>
      </c>
    </row>
    <row r="39" spans="1:11" x14ac:dyDescent="0.35">
      <c r="A39" t="s">
        <v>2</v>
      </c>
      <c r="B39" t="s">
        <v>5</v>
      </c>
      <c r="C39" t="s">
        <v>8</v>
      </c>
      <c r="D39" t="str">
        <f t="shared" si="10"/>
        <v>Yorkshire WaterFootpath63-125mmYes</v>
      </c>
      <c r="E39">
        <f>E15+50</f>
        <v>3033</v>
      </c>
      <c r="I39" t="s">
        <v>47</v>
      </c>
      <c r="J39">
        <v>131</v>
      </c>
      <c r="K39">
        <v>0</v>
      </c>
    </row>
    <row r="40" spans="1:11" x14ac:dyDescent="0.35">
      <c r="A40" t="s">
        <v>2</v>
      </c>
      <c r="B40" t="s">
        <v>5</v>
      </c>
      <c r="C40" t="s">
        <v>9</v>
      </c>
      <c r="D40" t="str">
        <f t="shared" si="10"/>
        <v>Yorkshire WaterFootpath160-225mmYes</v>
      </c>
      <c r="E40">
        <f>E16+68</f>
        <v>4021</v>
      </c>
      <c r="I40" t="s">
        <v>48</v>
      </c>
      <c r="J40">
        <v>220</v>
      </c>
      <c r="K40">
        <v>0</v>
      </c>
    </row>
    <row r="41" spans="1:11" x14ac:dyDescent="0.35">
      <c r="A41" t="s">
        <v>2</v>
      </c>
      <c r="B41" t="s">
        <v>5</v>
      </c>
      <c r="C41" t="s">
        <v>10</v>
      </c>
      <c r="D41" t="str">
        <f t="shared" si="10"/>
        <v>Yorkshire WaterFootpath250-400mmYes</v>
      </c>
      <c r="E41">
        <f>E17+108</f>
        <v>9683</v>
      </c>
      <c r="I41" t="s">
        <v>49</v>
      </c>
      <c r="J41">
        <v>267</v>
      </c>
      <c r="K41">
        <v>0</v>
      </c>
    </row>
    <row r="42" spans="1:11" x14ac:dyDescent="0.35">
      <c r="A42" t="s">
        <v>2</v>
      </c>
      <c r="B42" t="s">
        <v>5</v>
      </c>
      <c r="C42" t="s">
        <v>11</v>
      </c>
      <c r="D42" t="str">
        <f t="shared" si="10"/>
        <v>Yorkshire WaterFootpath450-560mmYes</v>
      </c>
      <c r="E42">
        <f>E18+162</f>
        <v>23262</v>
      </c>
      <c r="I42" t="s">
        <v>50</v>
      </c>
      <c r="J42">
        <v>375</v>
      </c>
      <c r="K42">
        <v>0</v>
      </c>
    </row>
    <row r="43" spans="1:11" x14ac:dyDescent="0.35">
      <c r="A43" t="s">
        <v>2</v>
      </c>
      <c r="B43" t="s">
        <v>6</v>
      </c>
      <c r="C43" t="s">
        <v>8</v>
      </c>
      <c r="D43" t="str">
        <f t="shared" si="10"/>
        <v>Yorkshire WaterUnmade Ground63-125mmYes</v>
      </c>
      <c r="E43">
        <f>E19+50</f>
        <v>2920</v>
      </c>
      <c r="I43" t="s">
        <v>51</v>
      </c>
      <c r="J43">
        <v>87</v>
      </c>
      <c r="K43">
        <v>0</v>
      </c>
    </row>
    <row r="44" spans="1:11" x14ac:dyDescent="0.35">
      <c r="A44" t="s">
        <v>2</v>
      </c>
      <c r="B44" t="s">
        <v>6</v>
      </c>
      <c r="C44" t="s">
        <v>9</v>
      </c>
      <c r="D44" t="str">
        <f t="shared" si="10"/>
        <v>Yorkshire WaterUnmade Ground160-225mmYes</v>
      </c>
      <c r="E44">
        <f>E20+68</f>
        <v>3844</v>
      </c>
      <c r="I44" t="s">
        <v>52</v>
      </c>
      <c r="J44">
        <v>146</v>
      </c>
      <c r="K44">
        <v>0</v>
      </c>
    </row>
    <row r="45" spans="1:11" x14ac:dyDescent="0.35">
      <c r="A45" t="s">
        <v>2</v>
      </c>
      <c r="B45" t="s">
        <v>6</v>
      </c>
      <c r="C45" t="s">
        <v>10</v>
      </c>
      <c r="D45" t="str">
        <f t="shared" si="10"/>
        <v>Yorkshire WaterUnmade Ground250-400mmYes</v>
      </c>
      <c r="E45">
        <f>E21+108</f>
        <v>9139</v>
      </c>
      <c r="I45" t="s">
        <v>53</v>
      </c>
      <c r="J45">
        <v>177</v>
      </c>
      <c r="K45">
        <v>0</v>
      </c>
    </row>
    <row r="46" spans="1:11" x14ac:dyDescent="0.35">
      <c r="A46" t="s">
        <v>2</v>
      </c>
      <c r="B46" t="s">
        <v>6</v>
      </c>
      <c r="C46" t="s">
        <v>11</v>
      </c>
      <c r="D46" t="str">
        <f t="shared" si="10"/>
        <v>Yorkshire WaterUnmade Ground450-560mmYes</v>
      </c>
      <c r="E46">
        <f>E22+162</f>
        <v>21833</v>
      </c>
      <c r="I46" t="s">
        <v>54</v>
      </c>
      <c r="J46">
        <v>249</v>
      </c>
      <c r="K46">
        <v>0</v>
      </c>
    </row>
    <row r="47" spans="1:11" x14ac:dyDescent="0.35">
      <c r="A47" t="s">
        <v>3</v>
      </c>
      <c r="B47" t="s">
        <v>4</v>
      </c>
      <c r="C47" t="s">
        <v>8</v>
      </c>
      <c r="D47" t="str">
        <f t="shared" si="10"/>
        <v>CustomerRoad63-125mmYes</v>
      </c>
      <c r="E47">
        <f>E23+50</f>
        <v>2731</v>
      </c>
      <c r="I47" t="s">
        <v>55</v>
      </c>
      <c r="J47">
        <v>28</v>
      </c>
      <c r="K47">
        <v>0</v>
      </c>
    </row>
    <row r="48" spans="1:11" x14ac:dyDescent="0.35">
      <c r="A48" t="s">
        <v>3</v>
      </c>
      <c r="B48" t="s">
        <v>4</v>
      </c>
      <c r="C48" t="s">
        <v>9</v>
      </c>
      <c r="D48" t="str">
        <f t="shared" si="10"/>
        <v>CustomerRoad160-225mmYes</v>
      </c>
      <c r="E48">
        <f>E24+68</f>
        <v>3512</v>
      </c>
      <c r="I48" t="s">
        <v>56</v>
      </c>
      <c r="J48">
        <v>68</v>
      </c>
      <c r="K48">
        <v>0</v>
      </c>
    </row>
    <row r="49" spans="1:11" x14ac:dyDescent="0.35">
      <c r="A49" t="s">
        <v>3</v>
      </c>
      <c r="B49" t="s">
        <v>4</v>
      </c>
      <c r="C49" t="s">
        <v>10</v>
      </c>
      <c r="D49" t="str">
        <f t="shared" si="10"/>
        <v>CustomerRoad250-400mmYes</v>
      </c>
      <c r="E49">
        <f>E25+108</f>
        <v>9107</v>
      </c>
      <c r="I49" t="s">
        <v>57</v>
      </c>
      <c r="J49">
        <v>164</v>
      </c>
      <c r="K49">
        <v>0</v>
      </c>
    </row>
    <row r="50" spans="1:11" x14ac:dyDescent="0.35">
      <c r="A50" t="s">
        <v>3</v>
      </c>
      <c r="B50" t="s">
        <v>4</v>
      </c>
      <c r="C50" t="s">
        <v>11</v>
      </c>
      <c r="D50" t="str">
        <f t="shared" si="10"/>
        <v>CustomerRoad450-560mmYes</v>
      </c>
      <c r="E50">
        <f>E26+162</f>
        <v>21179</v>
      </c>
      <c r="I50" t="s">
        <v>58</v>
      </c>
      <c r="J50">
        <v>236</v>
      </c>
      <c r="K50">
        <v>0</v>
      </c>
    </row>
    <row r="51" spans="1:11" x14ac:dyDescent="0.35">
      <c r="A51" t="s">
        <v>3</v>
      </c>
      <c r="B51" t="s">
        <v>5</v>
      </c>
      <c r="C51" t="s">
        <v>8</v>
      </c>
      <c r="D51" t="str">
        <f t="shared" si="10"/>
        <v>CustomerFootpath63-125mmYes</v>
      </c>
      <c r="E51">
        <f>E27+50</f>
        <v>2731</v>
      </c>
      <c r="I51" t="s">
        <v>59</v>
      </c>
      <c r="J51">
        <v>28</v>
      </c>
      <c r="K51">
        <v>0</v>
      </c>
    </row>
    <row r="52" spans="1:11" x14ac:dyDescent="0.35">
      <c r="A52" t="s">
        <v>3</v>
      </c>
      <c r="B52" t="s">
        <v>5</v>
      </c>
      <c r="C52" t="s">
        <v>9</v>
      </c>
      <c r="D52" t="str">
        <f t="shared" si="10"/>
        <v>CustomerFootpath160-225mmYes</v>
      </c>
      <c r="E52">
        <f>E28+68</f>
        <v>3512</v>
      </c>
      <c r="I52" t="s">
        <v>60</v>
      </c>
      <c r="J52">
        <v>68</v>
      </c>
      <c r="K52">
        <v>0</v>
      </c>
    </row>
    <row r="53" spans="1:11" x14ac:dyDescent="0.35">
      <c r="A53" t="s">
        <v>3</v>
      </c>
      <c r="B53" t="s">
        <v>5</v>
      </c>
      <c r="C53" t="s">
        <v>10</v>
      </c>
      <c r="D53" t="str">
        <f t="shared" si="10"/>
        <v>CustomerFootpath250-400mmYes</v>
      </c>
      <c r="E53">
        <f>E29+108</f>
        <v>9107</v>
      </c>
      <c r="I53" t="s">
        <v>61</v>
      </c>
      <c r="J53">
        <v>164</v>
      </c>
      <c r="K53">
        <v>0</v>
      </c>
    </row>
    <row r="54" spans="1:11" x14ac:dyDescent="0.35">
      <c r="A54" t="s">
        <v>3</v>
      </c>
      <c r="B54" t="s">
        <v>5</v>
      </c>
      <c r="C54" t="s">
        <v>11</v>
      </c>
      <c r="D54" t="str">
        <f t="shared" si="10"/>
        <v>CustomerFootpath450-560mmYes</v>
      </c>
      <c r="E54">
        <f>E30+162</f>
        <v>21179</v>
      </c>
      <c r="I54" t="s">
        <v>62</v>
      </c>
      <c r="J54">
        <v>236</v>
      </c>
      <c r="K54">
        <v>0</v>
      </c>
    </row>
    <row r="55" spans="1:11" x14ac:dyDescent="0.35">
      <c r="A55" t="s">
        <v>3</v>
      </c>
      <c r="B55" t="s">
        <v>6</v>
      </c>
      <c r="C55" t="s">
        <v>8</v>
      </c>
      <c r="D55" t="str">
        <f t="shared" si="10"/>
        <v>CustomerUnmade Ground63-125mmYes</v>
      </c>
      <c r="E55">
        <f>E31+50</f>
        <v>2731</v>
      </c>
      <c r="I55" t="s">
        <v>63</v>
      </c>
      <c r="J55">
        <v>28</v>
      </c>
      <c r="K55">
        <v>0</v>
      </c>
    </row>
    <row r="56" spans="1:11" x14ac:dyDescent="0.35">
      <c r="A56" t="s">
        <v>3</v>
      </c>
      <c r="B56" t="s">
        <v>6</v>
      </c>
      <c r="C56" t="s">
        <v>9</v>
      </c>
      <c r="D56" t="str">
        <f t="shared" si="10"/>
        <v>CustomerUnmade Ground160-225mmYes</v>
      </c>
      <c r="E56">
        <f>E32+68</f>
        <v>3512</v>
      </c>
      <c r="I56" t="s">
        <v>64</v>
      </c>
      <c r="J56">
        <v>68</v>
      </c>
      <c r="K56">
        <v>0</v>
      </c>
    </row>
    <row r="57" spans="1:11" x14ac:dyDescent="0.35">
      <c r="A57" t="s">
        <v>3</v>
      </c>
      <c r="B57" t="s">
        <v>6</v>
      </c>
      <c r="C57" t="s">
        <v>10</v>
      </c>
      <c r="D57" t="str">
        <f t="shared" si="10"/>
        <v>CustomerUnmade Ground250-400mmYes</v>
      </c>
      <c r="E57">
        <f>E33+108</f>
        <v>9107</v>
      </c>
      <c r="I57" t="s">
        <v>65</v>
      </c>
      <c r="J57">
        <v>164</v>
      </c>
      <c r="K57">
        <v>0</v>
      </c>
    </row>
    <row r="58" spans="1:11" x14ac:dyDescent="0.35">
      <c r="A58" t="s">
        <v>3</v>
      </c>
      <c r="B58" t="s">
        <v>6</v>
      </c>
      <c r="C58" t="s">
        <v>11</v>
      </c>
      <c r="D58" t="str">
        <f t="shared" si="10"/>
        <v>CustomerUnmade Ground450-560mmYes</v>
      </c>
      <c r="E58">
        <f>E34+162</f>
        <v>21179</v>
      </c>
      <c r="I58" t="s">
        <v>66</v>
      </c>
      <c r="J58">
        <v>236</v>
      </c>
      <c r="K58">
        <v>0</v>
      </c>
    </row>
  </sheetData>
  <mergeCells count="11">
    <mergeCell ref="BH6:BI6"/>
    <mergeCell ref="BL5:BO5"/>
    <mergeCell ref="BQ6:BT6"/>
    <mergeCell ref="AC9:AN9"/>
    <mergeCell ref="AU8:AY8"/>
    <mergeCell ref="BB7:BE7"/>
    <mergeCell ref="A10:E10"/>
    <mergeCell ref="I10:K10"/>
    <mergeCell ref="O10:P10"/>
    <mergeCell ref="S10:T10"/>
    <mergeCell ref="W10:Z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7543-53FC-4A84-9879-1B7C209B26DB}">
  <sheetPr codeName="Sheet3">
    <tabColor theme="9"/>
  </sheetPr>
  <dimension ref="A1:AB35"/>
  <sheetViews>
    <sheetView showGridLines="0" showRowColHeaders="0" workbookViewId="0">
      <selection activeCell="N34" sqref="N34"/>
    </sheetView>
  </sheetViews>
  <sheetFormatPr defaultColWidth="0" defaultRowHeight="14.5" zeroHeight="1" x14ac:dyDescent="0.35"/>
  <cols>
    <col min="1" max="1" width="3.453125" style="10" customWidth="1"/>
    <col min="2" max="6" width="9.1796875" style="10" customWidth="1"/>
    <col min="7" max="7" width="9.453125" style="10" bestFit="1" customWidth="1"/>
    <col min="8" max="15" width="9.1796875" style="10" customWidth="1"/>
    <col min="16" max="28" width="0" style="10" hidden="1" customWidth="1"/>
    <col min="29" max="16384" width="9.1796875" style="10" hidden="1"/>
  </cols>
  <sheetData>
    <row r="1" spans="2:28" ht="15" thickBot="1" x14ac:dyDescent="0.4"/>
    <row r="2" spans="2:28" ht="30" customHeight="1" thickTop="1" x14ac:dyDescent="1.85">
      <c r="B2" s="118" t="s">
        <v>205</v>
      </c>
      <c r="C2" s="119"/>
      <c r="D2" s="119"/>
      <c r="E2" s="119"/>
      <c r="F2" s="119"/>
      <c r="G2" s="119"/>
      <c r="H2" s="119"/>
      <c r="I2" s="119"/>
      <c r="J2" s="119"/>
      <c r="K2" s="119"/>
      <c r="L2" s="119"/>
      <c r="M2" s="119"/>
      <c r="N2" s="120"/>
      <c r="O2" s="57"/>
      <c r="P2" s="57"/>
      <c r="Q2" s="57"/>
      <c r="R2" s="57"/>
      <c r="S2" s="57"/>
      <c r="T2" s="57"/>
      <c r="U2" s="57"/>
      <c r="V2" s="57"/>
      <c r="W2" s="57"/>
      <c r="X2" s="57"/>
      <c r="Y2" s="57"/>
      <c r="Z2" s="57"/>
      <c r="AA2" s="57"/>
      <c r="AB2" s="57"/>
    </row>
    <row r="3" spans="2:28" ht="30" customHeight="1" x14ac:dyDescent="1.85">
      <c r="B3" s="121"/>
      <c r="C3" s="122"/>
      <c r="D3" s="122"/>
      <c r="E3" s="122"/>
      <c r="F3" s="122"/>
      <c r="G3" s="122"/>
      <c r="H3" s="122"/>
      <c r="I3" s="122"/>
      <c r="J3" s="122"/>
      <c r="K3" s="122"/>
      <c r="L3" s="122"/>
      <c r="M3" s="122"/>
      <c r="N3" s="123"/>
      <c r="O3" s="57"/>
      <c r="P3" s="57"/>
      <c r="Q3" s="57"/>
      <c r="R3" s="57"/>
      <c r="S3" s="57"/>
      <c r="T3" s="57"/>
      <c r="U3" s="57"/>
      <c r="V3" s="57"/>
      <c r="W3" s="57"/>
      <c r="X3" s="57"/>
      <c r="Y3" s="57"/>
      <c r="Z3" s="57"/>
      <c r="AA3" s="57"/>
      <c r="AB3" s="57"/>
    </row>
    <row r="4" spans="2:28" ht="15" customHeight="1" x14ac:dyDescent="0.35">
      <c r="B4" s="125" t="str">
        <f>IF(Lists!W6="UNLOCKED","Based on the information you have input, your estimated cost for the work is","Please can you read the Terms Of Use and confirm you have understood them.")</f>
        <v>Please can you read the Terms Of Use and confirm you have understood them.</v>
      </c>
      <c r="C4" s="126"/>
      <c r="D4" s="126"/>
      <c r="E4" s="126"/>
      <c r="F4" s="126"/>
      <c r="G4" s="126"/>
      <c r="H4" s="126"/>
      <c r="I4" s="126"/>
      <c r="J4" s="126"/>
      <c r="K4" s="126"/>
      <c r="L4" s="126"/>
      <c r="M4" s="126"/>
      <c r="N4" s="127"/>
      <c r="O4" s="59"/>
      <c r="P4" s="59"/>
      <c r="Q4" s="59"/>
      <c r="R4" s="59"/>
      <c r="S4" s="59"/>
      <c r="T4" s="59"/>
      <c r="U4" s="59"/>
      <c r="V4" s="59"/>
      <c r="W4" s="59"/>
      <c r="X4" s="59"/>
      <c r="Y4" s="59"/>
      <c r="Z4" s="59"/>
      <c r="AA4" s="59"/>
      <c r="AB4" s="59"/>
    </row>
    <row r="5" spans="2:28" ht="15" customHeight="1" x14ac:dyDescent="0.35">
      <c r="B5" s="125"/>
      <c r="C5" s="126"/>
      <c r="D5" s="126"/>
      <c r="E5" s="126"/>
      <c r="F5" s="126"/>
      <c r="G5" s="126"/>
      <c r="H5" s="126"/>
      <c r="I5" s="126"/>
      <c r="J5" s="126"/>
      <c r="K5" s="126"/>
      <c r="L5" s="126"/>
      <c r="M5" s="126"/>
      <c r="N5" s="127"/>
    </row>
    <row r="6" spans="2:28" ht="15" customHeight="1" x14ac:dyDescent="0.35">
      <c r="B6" s="125"/>
      <c r="C6" s="126"/>
      <c r="D6" s="126"/>
      <c r="E6" s="126"/>
      <c r="F6" s="126"/>
      <c r="G6" s="126"/>
      <c r="H6" s="126"/>
      <c r="I6" s="126"/>
      <c r="J6" s="126"/>
      <c r="K6" s="126"/>
      <c r="L6" s="126"/>
      <c r="M6" s="126"/>
      <c r="N6" s="127"/>
    </row>
    <row r="7" spans="2:28" ht="15" customHeight="1" x14ac:dyDescent="0.35">
      <c r="B7" s="125"/>
      <c r="C7" s="126"/>
      <c r="D7" s="126"/>
      <c r="E7" s="126"/>
      <c r="F7" s="126"/>
      <c r="G7" s="126"/>
      <c r="H7" s="126"/>
      <c r="I7" s="126"/>
      <c r="J7" s="126"/>
      <c r="K7" s="126"/>
      <c r="L7" s="126"/>
      <c r="M7" s="126"/>
      <c r="N7" s="127"/>
    </row>
    <row r="8" spans="2:28" ht="15" customHeight="1" x14ac:dyDescent="0.35">
      <c r="B8" s="62"/>
      <c r="C8" s="58"/>
      <c r="D8" s="58"/>
      <c r="E8" s="58"/>
      <c r="F8" s="128" t="str">
        <f>IF(Lists!W6="UNLOCKED",'Look Ups'!A1,"")</f>
        <v/>
      </c>
      <c r="G8" s="128"/>
      <c r="H8" s="128"/>
      <c r="I8" s="128"/>
      <c r="J8" s="128"/>
      <c r="K8" s="58"/>
      <c r="L8" s="58"/>
      <c r="M8" s="58"/>
      <c r="N8" s="60"/>
    </row>
    <row r="9" spans="2:28" ht="15" customHeight="1" x14ac:dyDescent="0.35">
      <c r="B9" s="62"/>
      <c r="C9" s="58"/>
      <c r="D9" s="58"/>
      <c r="E9" s="58"/>
      <c r="F9" s="128"/>
      <c r="G9" s="128"/>
      <c r="H9" s="128"/>
      <c r="I9" s="128"/>
      <c r="J9" s="128"/>
      <c r="K9" s="58"/>
      <c r="L9" s="58"/>
      <c r="M9" s="58"/>
      <c r="N9" s="60"/>
    </row>
    <row r="10" spans="2:28" ht="15" customHeight="1" x14ac:dyDescent="0.35">
      <c r="B10" s="62"/>
      <c r="C10" s="58"/>
      <c r="D10" s="58"/>
      <c r="E10" s="58"/>
      <c r="F10" s="58"/>
      <c r="G10" s="58"/>
      <c r="H10" s="58"/>
      <c r="I10" s="58"/>
      <c r="J10" s="58"/>
      <c r="K10" s="58"/>
      <c r="L10" s="58"/>
      <c r="M10" s="58"/>
      <c r="N10" s="60"/>
    </row>
    <row r="11" spans="2:28" ht="15" customHeight="1" x14ac:dyDescent="0.35">
      <c r="B11" s="62"/>
      <c r="C11" s="58"/>
      <c r="D11" s="126" t="str">
        <f>IF(Lists!W6="UNLOCKED","This comprises","")</f>
        <v/>
      </c>
      <c r="E11" s="126"/>
      <c r="F11" s="126"/>
      <c r="G11" s="126"/>
      <c r="H11" s="126"/>
      <c r="I11" s="126"/>
      <c r="J11" s="126"/>
      <c r="K11" s="126"/>
      <c r="L11" s="126"/>
      <c r="M11" s="58"/>
      <c r="N11" s="60"/>
    </row>
    <row r="12" spans="2:28" ht="15" customHeight="1" x14ac:dyDescent="0.35">
      <c r="B12" s="62"/>
      <c r="C12" s="58"/>
      <c r="D12" s="58"/>
      <c r="E12" s="58"/>
      <c r="F12" s="58"/>
      <c r="G12" s="58"/>
      <c r="H12" s="58"/>
      <c r="I12" s="58"/>
      <c r="J12" s="58"/>
      <c r="K12" s="58"/>
      <c r="L12" s="58"/>
      <c r="M12" s="58"/>
      <c r="N12" s="60"/>
    </row>
    <row r="13" spans="2:28" ht="15" customHeight="1" x14ac:dyDescent="0.35">
      <c r="B13" s="62"/>
      <c r="C13" s="58"/>
      <c r="D13" s="58"/>
      <c r="E13" s="58"/>
      <c r="F13" s="124" t="str">
        <f>IF(Lists!W6="UNLOCKED",'1. Application Fees'!C2*0.833333333333333,"")</f>
        <v/>
      </c>
      <c r="G13" s="124"/>
      <c r="H13" s="124"/>
      <c r="I13" s="124"/>
      <c r="J13" s="124"/>
      <c r="K13" s="58"/>
      <c r="L13" s="58"/>
      <c r="M13" s="58"/>
      <c r="N13" s="60"/>
    </row>
    <row r="14" spans="2:28" ht="15" customHeight="1" x14ac:dyDescent="0.35">
      <c r="B14" s="62"/>
      <c r="C14" s="58"/>
      <c r="D14" s="58"/>
      <c r="E14" s="58"/>
      <c r="F14" s="58"/>
      <c r="G14" s="58"/>
      <c r="H14" s="58"/>
      <c r="I14" s="58"/>
      <c r="J14" s="58"/>
      <c r="K14" s="58"/>
      <c r="L14" s="58"/>
      <c r="M14" s="58"/>
      <c r="N14" s="60"/>
    </row>
    <row r="15" spans="2:28" ht="15" customHeight="1" x14ac:dyDescent="0.35">
      <c r="B15" s="62"/>
      <c r="C15" s="58"/>
      <c r="D15" s="126" t="str">
        <f>IF(Lists!W6="UNLOCKED"," in application fees, exclusive of 20% VAT, ","")</f>
        <v/>
      </c>
      <c r="E15" s="126"/>
      <c r="F15" s="126"/>
      <c r="G15" s="126"/>
      <c r="H15" s="126"/>
      <c r="I15" s="126"/>
      <c r="J15" s="126"/>
      <c r="K15" s="126"/>
      <c r="L15" s="126"/>
      <c r="M15" s="58"/>
      <c r="N15" s="60"/>
    </row>
    <row r="16" spans="2:28" ht="15" customHeight="1" x14ac:dyDescent="0.35">
      <c r="B16" s="62"/>
      <c r="C16" s="58"/>
      <c r="D16" s="82"/>
      <c r="E16" s="82"/>
      <c r="F16" s="82"/>
      <c r="G16" s="82"/>
      <c r="H16" s="82"/>
      <c r="I16" s="82"/>
      <c r="J16" s="82"/>
      <c r="K16" s="82"/>
      <c r="L16" s="82"/>
      <c r="M16" s="58"/>
      <c r="N16" s="60"/>
    </row>
    <row r="17" spans="2:14" ht="15" customHeight="1" x14ac:dyDescent="0.35">
      <c r="B17" s="62"/>
      <c r="C17" s="58"/>
      <c r="D17" s="82"/>
      <c r="E17" s="82"/>
      <c r="F17" s="124" t="str">
        <f>IF(Lists!W6="UNLOCKED",'1. Application Fees'!C2-F13,"")</f>
        <v/>
      </c>
      <c r="G17" s="124"/>
      <c r="H17" s="124"/>
      <c r="I17" s="124"/>
      <c r="J17" s="124"/>
      <c r="K17" s="82"/>
      <c r="L17" s="82"/>
      <c r="M17" s="58"/>
      <c r="N17" s="60"/>
    </row>
    <row r="18" spans="2:14" ht="15" customHeight="1" x14ac:dyDescent="0.35">
      <c r="B18" s="62"/>
      <c r="C18" s="58"/>
      <c r="D18" s="82"/>
      <c r="E18" s="82"/>
      <c r="F18" s="82"/>
      <c r="G18" s="82"/>
      <c r="H18" s="82"/>
      <c r="I18" s="82"/>
      <c r="J18" s="82"/>
      <c r="K18" s="82"/>
      <c r="L18" s="82"/>
      <c r="M18" s="58"/>
      <c r="N18" s="60"/>
    </row>
    <row r="19" spans="2:14" ht="15" customHeight="1" x14ac:dyDescent="0.35">
      <c r="B19" s="62"/>
      <c r="C19" s="58"/>
      <c r="D19" s="82"/>
      <c r="E19" s="82"/>
      <c r="F19" s="126" t="str">
        <f>IF(Lists!W6="UNLOCKED"," in VAT on application fees, and","")</f>
        <v/>
      </c>
      <c r="G19" s="126"/>
      <c r="H19" s="126"/>
      <c r="I19" s="126"/>
      <c r="J19" s="126"/>
      <c r="K19" s="82"/>
      <c r="L19" s="82"/>
      <c r="M19" s="58"/>
      <c r="N19" s="60"/>
    </row>
    <row r="20" spans="2:14" ht="15" customHeight="1" x14ac:dyDescent="0.35">
      <c r="B20" s="62"/>
      <c r="C20" s="58"/>
      <c r="D20" s="58"/>
      <c r="E20" s="58"/>
      <c r="F20" s="58"/>
      <c r="G20" s="58"/>
      <c r="H20" s="58"/>
      <c r="I20" s="58"/>
      <c r="J20" s="58"/>
      <c r="K20" s="58"/>
      <c r="L20" s="58"/>
      <c r="M20" s="58"/>
      <c r="N20" s="60"/>
    </row>
    <row r="21" spans="2:14" ht="15" customHeight="1" x14ac:dyDescent="0.35">
      <c r="B21" s="62"/>
      <c r="C21" s="58"/>
      <c r="D21" s="58"/>
      <c r="E21" s="58"/>
      <c r="F21" s="124" t="str">
        <f>IF(Lists!W6="UNLOCKED",'Look Ups'!A1-'1. Application Fees'!C2,"")</f>
        <v/>
      </c>
      <c r="G21" s="124"/>
      <c r="H21" s="124"/>
      <c r="I21" s="124"/>
      <c r="J21" s="124"/>
      <c r="K21" s="58"/>
      <c r="L21" s="58"/>
      <c r="M21" s="58"/>
      <c r="N21" s="60"/>
    </row>
    <row r="22" spans="2:14" ht="15" customHeight="1" x14ac:dyDescent="0.35">
      <c r="B22" s="62"/>
      <c r="C22" s="58"/>
      <c r="D22" s="58"/>
      <c r="E22" s="58"/>
      <c r="F22" s="58"/>
      <c r="G22" s="58"/>
      <c r="H22" s="58"/>
      <c r="I22" s="58"/>
      <c r="J22" s="58"/>
      <c r="K22" s="58"/>
      <c r="L22" s="58"/>
      <c r="M22" s="58"/>
      <c r="N22" s="60"/>
    </row>
    <row r="23" spans="2:14" ht="15" customHeight="1" x14ac:dyDescent="0.35">
      <c r="B23" s="62"/>
      <c r="C23" s="58"/>
      <c r="D23" s="126" t="str">
        <f>IF(Lists!W6="UNLOCKED","in other charges, which are excluding VAT.","")</f>
        <v/>
      </c>
      <c r="E23" s="126"/>
      <c r="F23" s="126"/>
      <c r="G23" s="126"/>
      <c r="H23" s="126"/>
      <c r="I23" s="126"/>
      <c r="J23" s="126"/>
      <c r="K23" s="126"/>
      <c r="L23" s="126"/>
      <c r="M23" s="58"/>
      <c r="N23" s="60"/>
    </row>
    <row r="24" spans="2:14" ht="15" customHeight="1" x14ac:dyDescent="0.35">
      <c r="B24" s="62"/>
      <c r="C24" s="58"/>
      <c r="D24" s="126"/>
      <c r="E24" s="126"/>
      <c r="F24" s="126"/>
      <c r="G24" s="126"/>
      <c r="H24" s="126"/>
      <c r="I24" s="126"/>
      <c r="J24" s="126"/>
      <c r="K24" s="126"/>
      <c r="L24" s="126"/>
      <c r="M24" s="58"/>
      <c r="N24" s="60"/>
    </row>
    <row r="25" spans="2:14" ht="14.5" customHeight="1" x14ac:dyDescent="0.35">
      <c r="B25" s="63"/>
      <c r="C25" s="59"/>
      <c r="D25" s="129" t="str">
        <f>IF(Lists!W6="UNLOCKED","This is a cost estimate for information purposes only, and does not constitute a formal quote or an offer capable of acceptance.","")</f>
        <v/>
      </c>
      <c r="E25" s="129"/>
      <c r="F25" s="129"/>
      <c r="G25" s="129"/>
      <c r="H25" s="129"/>
      <c r="I25" s="129"/>
      <c r="J25" s="129"/>
      <c r="K25" s="129"/>
      <c r="L25" s="129"/>
      <c r="M25" s="59"/>
      <c r="N25" s="61"/>
    </row>
    <row r="26" spans="2:14" ht="14.5" customHeight="1" x14ac:dyDescent="0.35">
      <c r="B26" s="63"/>
      <c r="C26" s="59"/>
      <c r="D26" s="129"/>
      <c r="E26" s="129"/>
      <c r="F26" s="129"/>
      <c r="G26" s="129"/>
      <c r="H26" s="129"/>
      <c r="I26" s="129"/>
      <c r="J26" s="129"/>
      <c r="K26" s="129"/>
      <c r="L26" s="129"/>
      <c r="M26" s="59"/>
      <c r="N26" s="61"/>
    </row>
    <row r="27" spans="2:14" ht="14.5" customHeight="1" x14ac:dyDescent="0.35">
      <c r="B27" s="63"/>
      <c r="C27" s="59"/>
      <c r="D27" s="129"/>
      <c r="E27" s="129"/>
      <c r="F27" s="129"/>
      <c r="G27" s="129"/>
      <c r="H27" s="129"/>
      <c r="I27" s="129"/>
      <c r="J27" s="129"/>
      <c r="K27" s="129"/>
      <c r="L27" s="129"/>
      <c r="M27" s="59"/>
      <c r="N27" s="61"/>
    </row>
    <row r="28" spans="2:14" ht="15" customHeight="1" thickBot="1" x14ac:dyDescent="0.4">
      <c r="B28" s="64"/>
      <c r="C28" s="65"/>
      <c r="D28" s="81"/>
      <c r="E28" s="81"/>
      <c r="F28" s="81"/>
      <c r="G28" s="81"/>
      <c r="H28" s="81"/>
      <c r="I28" s="81"/>
      <c r="J28" s="81"/>
      <c r="K28" s="81"/>
      <c r="L28" s="81"/>
      <c r="M28" s="65"/>
      <c r="N28" s="66"/>
    </row>
    <row r="29" spans="2:14" ht="15" thickTop="1" x14ac:dyDescent="0.35"/>
    <row r="33" x14ac:dyDescent="0.35"/>
    <row r="34" x14ac:dyDescent="0.35"/>
    <row r="35" x14ac:dyDescent="0.35"/>
  </sheetData>
  <sheetProtection algorithmName="SHA-512" hashValue="jRUdmir0zxiFKYgeXxo4pQQNK4ooO/+9zhZ31SLsCt9nAA3Xsf5QdWE49PJglf89E4JClWnBbduLA28fE5XMzw==" saltValue="ntcIH64h6Ctc9uWVDHcn4g==" spinCount="100000" sheet="1" objects="1" scenarios="1"/>
  <mergeCells count="12">
    <mergeCell ref="D25:L27"/>
    <mergeCell ref="F17:J17"/>
    <mergeCell ref="F19:J19"/>
    <mergeCell ref="D23:L23"/>
    <mergeCell ref="D24:L24"/>
    <mergeCell ref="B2:N3"/>
    <mergeCell ref="F21:J21"/>
    <mergeCell ref="B4:N7"/>
    <mergeCell ref="D11:L11"/>
    <mergeCell ref="F8:J9"/>
    <mergeCell ref="F13:J13"/>
    <mergeCell ref="D15:L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694A-265A-42A9-8E91-C0EA4C1E8FE8}">
  <sheetPr codeName="Sheet4">
    <tabColor theme="9" tint="0.39997558519241921"/>
  </sheetPr>
  <dimension ref="A1:O29"/>
  <sheetViews>
    <sheetView showGridLines="0" showRowColHeaders="0" topLeftCell="H4" zoomScaleNormal="100" workbookViewId="0">
      <selection activeCell="K4" sqref="K4:N18"/>
    </sheetView>
  </sheetViews>
  <sheetFormatPr defaultColWidth="0" defaultRowHeight="14.5" zeroHeight="1" x14ac:dyDescent="0.35"/>
  <cols>
    <col min="1" max="1" width="3.453125" style="10" customWidth="1"/>
    <col min="2" max="4" width="20.81640625" style="10" customWidth="1"/>
    <col min="5" max="5" width="14" style="10" hidden="1" customWidth="1"/>
    <col min="6" max="6" width="33.453125" style="10" customWidth="1"/>
    <col min="7" max="7" width="25.1796875" style="10" hidden="1" customWidth="1"/>
    <col min="8" max="8" width="31.26953125" style="10" customWidth="1"/>
    <col min="9" max="9" width="36.81640625" style="10" customWidth="1"/>
    <col min="10" max="10" width="3.54296875" style="10" customWidth="1"/>
    <col min="11" max="13" width="8.7265625" style="10" customWidth="1"/>
    <col min="14" max="14" width="32.54296875" style="10" customWidth="1"/>
    <col min="15" max="15" width="8.7265625" style="10" customWidth="1"/>
    <col min="16" max="16384" width="8.7265625" style="10" hidden="1"/>
  </cols>
  <sheetData>
    <row r="1" spans="2:14" ht="14.5" customHeight="1" x14ac:dyDescent="0.35"/>
    <row r="2" spans="2:14" ht="21.5" x14ac:dyDescent="0.9">
      <c r="B2" s="22" t="s">
        <v>80</v>
      </c>
      <c r="C2" s="130" t="str">
        <f>IF(Lists!W6="LOCKED","Please confirm your acceptance of the Terms of Use",SUM(F5:F22,H5:H22,I5:I22))</f>
        <v>Please confirm your acceptance of the Terms of Use</v>
      </c>
      <c r="D2" s="130"/>
      <c r="E2" s="130"/>
      <c r="F2" s="130"/>
      <c r="G2" s="130"/>
      <c r="H2" s="130"/>
      <c r="I2" s="130"/>
    </row>
    <row r="3" spans="2:14" ht="14.5" customHeight="1" thickBot="1" x14ac:dyDescent="0.95">
      <c r="B3" s="11"/>
      <c r="C3" s="12"/>
      <c r="D3" s="11"/>
      <c r="E3" s="11"/>
      <c r="F3" s="11"/>
      <c r="G3" s="13"/>
    </row>
    <row r="4" spans="2:14" ht="64.5" customHeight="1" x14ac:dyDescent="0.35">
      <c r="B4" s="20" t="s">
        <v>206</v>
      </c>
      <c r="C4" s="20" t="s">
        <v>207</v>
      </c>
      <c r="D4" s="20" t="s">
        <v>208</v>
      </c>
      <c r="E4" s="15" t="s">
        <v>102</v>
      </c>
      <c r="F4" s="18" t="s">
        <v>243</v>
      </c>
      <c r="G4" s="19"/>
      <c r="H4" s="18" t="s">
        <v>184</v>
      </c>
      <c r="I4" s="18" t="s">
        <v>209</v>
      </c>
      <c r="K4" s="132" t="s">
        <v>218</v>
      </c>
      <c r="L4" s="133"/>
      <c r="M4" s="133"/>
      <c r="N4" s="134"/>
    </row>
    <row r="5" spans="2:14" ht="22" customHeight="1" x14ac:dyDescent="0.35">
      <c r="B5" s="28"/>
      <c r="C5" s="28"/>
      <c r="D5" s="28"/>
      <c r="E5" s="29" t="str">
        <f>B5&amp;C5&amp;D5</f>
        <v/>
      </c>
      <c r="F5" s="33" t="str">
        <f>IFERROR(IF(AND(B5="No",C5="SLP"),"Not Applicable",(VLOOKUP(E5,'Look Ups'!$AF$11:$AK$26,6,FALSE)*1.2)),"")</f>
        <v/>
      </c>
      <c r="G5" s="33" t="str">
        <f>IFERROR(IF(AND(B5="No",C5="SLP"),"We do not currently accept SLP Designs For Mains Schemes Where We Are Completing The Main Laying.",IF(B5="No","This comprises £"&amp;VLOOKUP(E5,'Look Ups'!$AF$11:$AK$26,6,FALSE)&amp;" in Application and Design Fees, a £217 Call Off Fee, a £46 Fire Consultation Fee and VAT at 20%.",IF(C5="Yorkshire Water","This comprises £"&amp;VLOOKUP(E5,'Look Ups'!$AF$11:$AK$26,6,FALSE)&amp;" in Application and Design Fees, a £217 Call Off Fee, a £42 Self Lay Agreement Fee, a £46 Fire Consultation Fee and VAT at 20%.","This comprises £"&amp;VLOOKUP(E5,'Look Ups'!$AF$11:$AK$26,6,FALSE)&amp;" in Application and Design Fees, a £217 Call Off Fee, a £42 Self Lay Agreement Fee and VAT at 20%"))),"")</f>
        <v/>
      </c>
      <c r="H5" s="33" t="str">
        <f>IFERROR(IF(AND(B5="No",C5="SLP"),"Not Applicable",(VLOOKUP(E5,'Look Ups'!$AF$11:$AM$26,8,FALSE)*1.2)),"")</f>
        <v/>
      </c>
      <c r="I5" s="33" t="str">
        <f>IFERROR(IF(AND(B5="No",C5="SLP"),"Not Applicable",(VLOOKUP(E5,'Look Ups'!$AF$11:$AN$26,9,FALSE)*1.2)),"")</f>
        <v/>
      </c>
      <c r="K5" s="135"/>
      <c r="L5" s="136"/>
      <c r="M5" s="136"/>
      <c r="N5" s="137"/>
    </row>
    <row r="6" spans="2:14" ht="22" customHeight="1" x14ac:dyDescent="0.35">
      <c r="B6" s="28"/>
      <c r="C6" s="28"/>
      <c r="D6" s="28"/>
      <c r="E6" s="29" t="str">
        <f t="shared" ref="E6:E22" si="0">B6&amp;C6&amp;D6</f>
        <v/>
      </c>
      <c r="F6" s="33" t="str">
        <f>IFERROR(IF(AND(B6="No",C6="SLP"),"Not Applicable",(VLOOKUP(E6,'Look Ups'!$AF$11:$AK$26,6,FALSE)*1.2)),"")</f>
        <v/>
      </c>
      <c r="G6" s="33" t="str">
        <f>IFERROR(IF(AND(B6="No",C6="SLP"),"We do not currently accept SLP Designs For Mains Schemes Where We Are Completing The Main Laying.",IF(B6="No","This comprises £"&amp;VLOOKUP(E6,'Look Ups'!$AF$11:$AK$26,6,FALSE)&amp;" in Application and Design Fees, a £217 Call Off Fee, a £46 Fire Consultation Fee and VAT at 20%.",IF(C6="Yorkshire Water","This comprises £"&amp;VLOOKUP(E6,'Look Ups'!$AF$11:$AK$26,6,FALSE)&amp;" in Application and Design Fees, a £217 Call Off Fee, a £42 Self Lay Agreement Fee, a £46 Fire Consultation Fee and VAT at 20%.","This comprises £"&amp;VLOOKUP(E6,'Look Ups'!$AF$11:$AK$26,6,FALSE)&amp;" in Application and Design Fees, a £217 Call Off Fee, a £42 Self Lay Agreement Fee and VAT at 20%"))),"")</f>
        <v/>
      </c>
      <c r="H6" s="33" t="str">
        <f>IFERROR(IF(AND(B6="No",C6="SLP"),"Not Applicable",(VLOOKUP(E6,'Look Ups'!$AF$11:$AM$26,8,FALSE)*1.2)),"")</f>
        <v/>
      </c>
      <c r="I6" s="33" t="str">
        <f>IFERROR(IF(AND(B6="No",C6="SLP"),"Not Applicable",(VLOOKUP(E6,'Look Ups'!$AF$11:$AN$26,9,FALSE)*1.2)),"")</f>
        <v/>
      </c>
      <c r="K6" s="135"/>
      <c r="L6" s="136"/>
      <c r="M6" s="136"/>
      <c r="N6" s="137"/>
    </row>
    <row r="7" spans="2:14" ht="22" customHeight="1" x14ac:dyDescent="0.35">
      <c r="B7" s="28"/>
      <c r="C7" s="28"/>
      <c r="D7" s="28"/>
      <c r="E7" s="29" t="str">
        <f t="shared" si="0"/>
        <v/>
      </c>
      <c r="F7" s="33" t="str">
        <f>IFERROR(IF(AND(B7="No",C7="SLP"),"Not Applicable",(VLOOKUP(E7,'Look Ups'!$AF$11:$AK$26,6,FALSE)*1.2)),"")</f>
        <v/>
      </c>
      <c r="G7" s="33" t="str">
        <f>IFERROR(IF(AND(B7="No",C7="SLP"),"We do not currently accept SLP Designs For Mains Schemes Where We Are Completing The Main Laying.",IF(B7="No","This comprises £"&amp;VLOOKUP(E7,'Look Ups'!$AF$11:$AK$26,6,FALSE)&amp;" in Application and Design Fees, a £217 Call Off Fee, a £46 Fire Consultation Fee and VAT at 20%.",IF(C7="Yorkshire Water","This comprises £"&amp;VLOOKUP(E7,'Look Ups'!$AF$11:$AK$26,6,FALSE)&amp;" in Application and Design Fees, a £217 Call Off Fee, a £42 Self Lay Agreement Fee, a £46 Fire Consultation Fee and VAT at 20%.","This comprises £"&amp;VLOOKUP(E7,'Look Ups'!$AF$11:$AK$26,6,FALSE)&amp;" in Application and Design Fees, a £217 Call Off Fee, a £42 Self Lay Agreement Fee and VAT at 20%"))),"")</f>
        <v/>
      </c>
      <c r="H7" s="33" t="str">
        <f>IFERROR(IF(AND(B7="No",C7="SLP"),"Not Applicable",(VLOOKUP(E7,'Look Ups'!$AF$11:$AM$26,8,FALSE)*1.2)),"")</f>
        <v/>
      </c>
      <c r="I7" s="33" t="str">
        <f>IFERROR(IF(AND(B7="No",C7="SLP"),"Not Applicable",(VLOOKUP(E7,'Look Ups'!$AF$11:$AN$26,9,FALSE)*1.2)),"")</f>
        <v/>
      </c>
      <c r="K7" s="135"/>
      <c r="L7" s="136"/>
      <c r="M7" s="136"/>
      <c r="N7" s="137"/>
    </row>
    <row r="8" spans="2:14" ht="22" customHeight="1" x14ac:dyDescent="0.35">
      <c r="B8" s="28"/>
      <c r="C8" s="28"/>
      <c r="D8" s="28"/>
      <c r="E8" s="29" t="str">
        <f t="shared" si="0"/>
        <v/>
      </c>
      <c r="F8" s="33" t="str">
        <f>IFERROR(IF(AND(B8="No",C8="SLP"),"Not Applicable",(VLOOKUP(E8,'Look Ups'!$AF$11:$AK$26,6,FALSE)*1.2)),"")</f>
        <v/>
      </c>
      <c r="G8" s="33" t="str">
        <f>IFERROR(IF(AND(B8="No",C8="SLP"),"We do not currently accept SLP Designs For Mains Schemes Where We Are Completing The Main Laying.",IF(B8="No","This comprises £"&amp;VLOOKUP(E8,'Look Ups'!$AF$11:$AK$26,6,FALSE)&amp;" in Application and Design Fees, a £217 Call Off Fee, a £46 Fire Consultation Fee and VAT at 20%.",IF(C8="Yorkshire Water","This comprises £"&amp;VLOOKUP(E8,'Look Ups'!$AF$11:$AK$26,6,FALSE)&amp;" in Application and Design Fees, a £217 Call Off Fee, a £42 Self Lay Agreement Fee, a £46 Fire Consultation Fee and VAT at 20%.","This comprises £"&amp;VLOOKUP(E8,'Look Ups'!$AF$11:$AK$26,6,FALSE)&amp;" in Application and Design Fees, a £217 Call Off Fee, a £42 Self Lay Agreement Fee and VAT at 20%"))),"")</f>
        <v/>
      </c>
      <c r="H8" s="33" t="str">
        <f>IFERROR(IF(AND(B8="No",C8="SLP"),"Not Applicable",(VLOOKUP(E8,'Look Ups'!$AF$11:$AM$26,8,FALSE)*1.2)),"")</f>
        <v/>
      </c>
      <c r="I8" s="33" t="str">
        <f>IFERROR(IF(AND(B8="No",C8="SLP"),"Not Applicable",(VLOOKUP(E8,'Look Ups'!$AF$11:$AN$26,9,FALSE)*1.2)),"")</f>
        <v/>
      </c>
      <c r="K8" s="135"/>
      <c r="L8" s="136"/>
      <c r="M8" s="136"/>
      <c r="N8" s="137"/>
    </row>
    <row r="9" spans="2:14" ht="22" customHeight="1" x14ac:dyDescent="0.35">
      <c r="B9" s="28"/>
      <c r="C9" s="28"/>
      <c r="D9" s="28"/>
      <c r="E9" s="29" t="str">
        <f t="shared" si="0"/>
        <v/>
      </c>
      <c r="F9" s="33" t="str">
        <f>IFERROR(IF(AND(B9="No",C9="SLP"),"Not Applicable",(VLOOKUP(E9,'Look Ups'!$AF$11:$AK$26,6,FALSE)*1.2)),"")</f>
        <v/>
      </c>
      <c r="G9" s="33" t="str">
        <f>IFERROR(IF(AND(B9="No",C9="SLP"),"We do not currently accept SLP Designs For Mains Schemes Where We Are Completing The Main Laying.",IF(B9="No","This comprises £"&amp;VLOOKUP(E9,'Look Ups'!$AF$11:$AK$26,6,FALSE)&amp;" in Application and Design Fees, a £217 Call Off Fee, a £46 Fire Consultation Fee and VAT at 20%.",IF(C9="Yorkshire Water","This comprises £"&amp;VLOOKUP(E9,'Look Ups'!$AF$11:$AK$26,6,FALSE)&amp;" in Application and Design Fees, a £217 Call Off Fee, a £42 Self Lay Agreement Fee, a £46 Fire Consultation Fee and VAT at 20%.","This comprises £"&amp;VLOOKUP(E9,'Look Ups'!$AF$11:$AK$26,6,FALSE)&amp;" in Application and Design Fees, a £217 Call Off Fee, a £42 Self Lay Agreement Fee and VAT at 20%"))),"")</f>
        <v/>
      </c>
      <c r="H9" s="33" t="str">
        <f>IFERROR(IF(AND(B9="No",C9="SLP"),"Not Applicable",(VLOOKUP(E9,'Look Ups'!$AF$11:$AM$26,8,FALSE)*1.2)),"")</f>
        <v/>
      </c>
      <c r="I9" s="33" t="str">
        <f>IFERROR(IF(AND(B9="No",C9="SLP"),"Not Applicable",(VLOOKUP(E9,'Look Ups'!$AF$11:$AN$26,9,FALSE)*1.2)),"")</f>
        <v/>
      </c>
      <c r="K9" s="135"/>
      <c r="L9" s="136"/>
      <c r="M9" s="136"/>
      <c r="N9" s="137"/>
    </row>
    <row r="10" spans="2:14" ht="22" customHeight="1" x14ac:dyDescent="0.35">
      <c r="B10" s="28"/>
      <c r="C10" s="28"/>
      <c r="D10" s="28"/>
      <c r="E10" s="29" t="str">
        <f t="shared" si="0"/>
        <v/>
      </c>
      <c r="F10" s="33" t="str">
        <f>IFERROR(IF(AND(B10="No",C10="SLP"),"Not Applicable",(VLOOKUP(E10,'Look Ups'!$AF$11:$AK$26,6,FALSE)*1.2)),"")</f>
        <v/>
      </c>
      <c r="G10" s="33" t="str">
        <f>IFERROR(IF(AND(B10="No",C10="SLP"),"We do not currently accept SLP Designs For Mains Schemes Where We Are Completing The Main Laying.",IF(B10="No","This comprises £"&amp;VLOOKUP(E10,'Look Ups'!$AF$11:$AK$26,6,FALSE)&amp;" in Application and Design Fees, a £217 Call Off Fee, a £46 Fire Consultation Fee and VAT at 20%.",IF(C10="Yorkshire Water","This comprises £"&amp;VLOOKUP(E10,'Look Ups'!$AF$11:$AK$26,6,FALSE)&amp;" in Application and Design Fees, a £217 Call Off Fee, a £42 Self Lay Agreement Fee, a £46 Fire Consultation Fee and VAT at 20%.","This comprises £"&amp;VLOOKUP(E10,'Look Ups'!$AF$11:$AK$26,6,FALSE)&amp;" in Application and Design Fees, a £217 Call Off Fee, a £42 Self Lay Agreement Fee and VAT at 20%"))),"")</f>
        <v/>
      </c>
      <c r="H10" s="33" t="str">
        <f>IFERROR(IF(AND(B10="No",C10="SLP"),"Not Applicable",(VLOOKUP(E10,'Look Ups'!$AF$11:$AM$26,8,FALSE)*1.2)),"")</f>
        <v/>
      </c>
      <c r="I10" s="33" t="str">
        <f>IFERROR(IF(AND(B10="No",C10="SLP"),"Not Applicable",(VLOOKUP(E10,'Look Ups'!$AF$11:$AN$26,9,FALSE)*1.2)),"")</f>
        <v/>
      </c>
      <c r="K10" s="135"/>
      <c r="L10" s="136"/>
      <c r="M10" s="136"/>
      <c r="N10" s="137"/>
    </row>
    <row r="11" spans="2:14" ht="22" customHeight="1" x14ac:dyDescent="0.35">
      <c r="B11" s="28"/>
      <c r="C11" s="28"/>
      <c r="D11" s="28"/>
      <c r="E11" s="29" t="str">
        <f t="shared" si="0"/>
        <v/>
      </c>
      <c r="F11" s="33" t="str">
        <f>IFERROR(IF(AND(B11="No",C11="SLP"),"Not Applicable",(VLOOKUP(E11,'Look Ups'!$AF$11:$AK$26,6,FALSE)*1.2)),"")</f>
        <v/>
      </c>
      <c r="G11" s="33" t="str">
        <f>IFERROR(IF(AND(B11="No",C11="SLP"),"We do not currently accept SLP Designs For Mains Schemes Where We Are Completing The Main Laying.",IF(B11="No","This comprises £"&amp;VLOOKUP(E11,'Look Ups'!$AF$11:$AK$26,6,FALSE)&amp;" in Application and Design Fees, a £217 Call Off Fee, a £46 Fire Consultation Fee and VAT at 20%.",IF(C11="Yorkshire Water","This comprises £"&amp;VLOOKUP(E11,'Look Ups'!$AF$11:$AK$26,6,FALSE)&amp;" in Application and Design Fees, a £217 Call Off Fee, a £42 Self Lay Agreement Fee, a £46 Fire Consultation Fee and VAT at 20%.","This comprises £"&amp;VLOOKUP(E11,'Look Ups'!$AF$11:$AK$26,6,FALSE)&amp;" in Application and Design Fees, a £217 Call Off Fee, a £42 Self Lay Agreement Fee and VAT at 20%"))),"")</f>
        <v/>
      </c>
      <c r="H11" s="33" t="str">
        <f>IFERROR(IF(AND(B11="No",C11="SLP"),"Not Applicable",(VLOOKUP(E11,'Look Ups'!$AF$11:$AM$26,8,FALSE)*1.2)),"")</f>
        <v/>
      </c>
      <c r="I11" s="33" t="str">
        <f>IFERROR(IF(AND(B11="No",C11="SLP"),"Not Applicable",(VLOOKUP(E11,'Look Ups'!$AF$11:$AN$26,9,FALSE)*1.2)),"")</f>
        <v/>
      </c>
      <c r="K11" s="135"/>
      <c r="L11" s="136"/>
      <c r="M11" s="136"/>
      <c r="N11" s="137"/>
    </row>
    <row r="12" spans="2:14" ht="22" customHeight="1" x14ac:dyDescent="0.35">
      <c r="B12" s="28"/>
      <c r="C12" s="28"/>
      <c r="D12" s="28"/>
      <c r="E12" s="29" t="str">
        <f t="shared" si="0"/>
        <v/>
      </c>
      <c r="F12" s="33" t="str">
        <f>IFERROR(IF(AND(B12="No",C12="SLP"),"Not Applicable",(VLOOKUP(E12,'Look Ups'!$AF$11:$AK$26,6,FALSE)*1.2)),"")</f>
        <v/>
      </c>
      <c r="G12" s="33" t="str">
        <f>IFERROR(IF(AND(B12="No",C12="SLP"),"We do not currently accept SLP Designs For Mains Schemes Where We Are Completing The Main Laying.",IF(B12="No","This comprises £"&amp;VLOOKUP(E12,'Look Ups'!$AF$11:$AK$26,6,FALSE)&amp;" in Application and Design Fees, a £217 Call Off Fee, a £46 Fire Consultation Fee and VAT at 20%.",IF(C12="Yorkshire Water","This comprises £"&amp;VLOOKUP(E12,'Look Ups'!$AF$11:$AK$26,6,FALSE)&amp;" in Application and Design Fees, a £217 Call Off Fee, a £42 Self Lay Agreement Fee, a £46 Fire Consultation Fee and VAT at 20%.","This comprises £"&amp;VLOOKUP(E12,'Look Ups'!$AF$11:$AK$26,6,FALSE)&amp;" in Application and Design Fees, a £217 Call Off Fee, a £42 Self Lay Agreement Fee and VAT at 20%"))),"")</f>
        <v/>
      </c>
      <c r="H12" s="33" t="str">
        <f>IFERROR(IF(AND(B12="No",C12="SLP"),"Not Applicable",(VLOOKUP(E12,'Look Ups'!$AF$11:$AM$26,8,FALSE)*1.2)),"")</f>
        <v/>
      </c>
      <c r="I12" s="33" t="str">
        <f>IFERROR(IF(AND(B12="No",C12="SLP"),"Not Applicable",(VLOOKUP(E12,'Look Ups'!$AF$11:$AN$26,9,FALSE)*1.2)),"")</f>
        <v/>
      </c>
      <c r="K12" s="135"/>
      <c r="L12" s="136"/>
      <c r="M12" s="136"/>
      <c r="N12" s="137"/>
    </row>
    <row r="13" spans="2:14" ht="22" customHeight="1" x14ac:dyDescent="0.35">
      <c r="B13" s="28"/>
      <c r="C13" s="28"/>
      <c r="D13" s="28"/>
      <c r="E13" s="29" t="str">
        <f t="shared" si="0"/>
        <v/>
      </c>
      <c r="F13" s="33" t="str">
        <f>IFERROR(IF(AND(B13="No",C13="SLP"),"Not Applicable",(VLOOKUP(E13,'Look Ups'!$AF$11:$AK$26,6,FALSE)*1.2)),"")</f>
        <v/>
      </c>
      <c r="G13" s="33" t="str">
        <f>IFERROR(IF(AND(B13="No",C13="SLP"),"We do not currently accept SLP Designs For Mains Schemes Where We Are Completing The Main Laying.",IF(B13="No","This comprises £"&amp;VLOOKUP(E13,'Look Ups'!$AF$11:$AK$26,6,FALSE)&amp;" in Application and Design Fees, a £217 Call Off Fee, a £46 Fire Consultation Fee and VAT at 20%.",IF(C13="Yorkshire Water","This comprises £"&amp;VLOOKUP(E13,'Look Ups'!$AF$11:$AK$26,6,FALSE)&amp;" in Application and Design Fees, a £217 Call Off Fee, a £42 Self Lay Agreement Fee, a £46 Fire Consultation Fee and VAT at 20%.","This comprises £"&amp;VLOOKUP(E13,'Look Ups'!$AF$11:$AK$26,6,FALSE)&amp;" in Application and Design Fees, a £217 Call Off Fee, a £42 Self Lay Agreement Fee and VAT at 20%"))),"")</f>
        <v/>
      </c>
      <c r="H13" s="33" t="str">
        <f>IFERROR(IF(AND(B13="No",C13="SLP"),"Not Applicable",(VLOOKUP(E13,'Look Ups'!$AF$11:$AM$26,8,FALSE)*1.2)),"")</f>
        <v/>
      </c>
      <c r="I13" s="33" t="str">
        <f>IFERROR(IF(AND(B13="No",C13="SLP"),"Not Applicable",(VLOOKUP(E13,'Look Ups'!$AF$11:$AN$26,9,FALSE)*1.2)),"")</f>
        <v/>
      </c>
      <c r="K13" s="135"/>
      <c r="L13" s="136"/>
      <c r="M13" s="136"/>
      <c r="N13" s="137"/>
    </row>
    <row r="14" spans="2:14" ht="22" customHeight="1" x14ac:dyDescent="0.35">
      <c r="B14" s="28"/>
      <c r="C14" s="28"/>
      <c r="D14" s="28"/>
      <c r="E14" s="29" t="str">
        <f t="shared" si="0"/>
        <v/>
      </c>
      <c r="F14" s="33" t="str">
        <f>IFERROR(IF(AND(B14="No",C14="SLP"),"Not Applicable",(VLOOKUP(E14,'Look Ups'!$AF$11:$AK$26,6,FALSE)*1.2)),"")</f>
        <v/>
      </c>
      <c r="G14" s="33" t="str">
        <f>IFERROR(IF(AND(B14="No",C14="SLP"),"We do not currently accept SLP Designs For Mains Schemes Where We Are Completing The Main Laying.",IF(B14="No","This comprises £"&amp;VLOOKUP(E14,'Look Ups'!$AF$11:$AK$26,6,FALSE)&amp;" in Application and Design Fees, a £217 Call Off Fee, a £46 Fire Consultation Fee and VAT at 20%.",IF(C14="Yorkshire Water","This comprises £"&amp;VLOOKUP(E14,'Look Ups'!$AF$11:$AK$26,6,FALSE)&amp;" in Application and Design Fees, a £217 Call Off Fee, a £42 Self Lay Agreement Fee, a £46 Fire Consultation Fee and VAT at 20%.","This comprises £"&amp;VLOOKUP(E14,'Look Ups'!$AF$11:$AK$26,6,FALSE)&amp;" in Application and Design Fees, a £217 Call Off Fee, a £42 Self Lay Agreement Fee and VAT at 20%"))),"")</f>
        <v/>
      </c>
      <c r="H14" s="33" t="str">
        <f>IFERROR(IF(AND(B14="No",C14="SLP"),"Not Applicable",(VLOOKUP(E14,'Look Ups'!$AF$11:$AM$26,8,FALSE)*1.2)),"")</f>
        <v/>
      </c>
      <c r="I14" s="33" t="str">
        <f>IFERROR(IF(AND(B14="No",C14="SLP"),"Not Applicable",(VLOOKUP(E14,'Look Ups'!$AF$11:$AN$26,9,FALSE)*1.2)),"")</f>
        <v/>
      </c>
      <c r="K14" s="135"/>
      <c r="L14" s="136"/>
      <c r="M14" s="136"/>
      <c r="N14" s="137"/>
    </row>
    <row r="15" spans="2:14" ht="22" customHeight="1" x14ac:dyDescent="0.35">
      <c r="B15" s="28"/>
      <c r="C15" s="28"/>
      <c r="D15" s="28"/>
      <c r="E15" s="29" t="str">
        <f t="shared" si="0"/>
        <v/>
      </c>
      <c r="F15" s="33" t="str">
        <f>IFERROR(IF(AND(B15="No",C15="SLP"),"Not Applicable",(VLOOKUP(E15,'Look Ups'!$AF$11:$AK$26,6,FALSE)*1.2)),"")</f>
        <v/>
      </c>
      <c r="G15" s="33" t="str">
        <f>IFERROR(IF(AND(B15="No",C15="SLP"),"We do not currently accept SLP Designs For Mains Schemes Where We Are Completing The Main Laying.",IF(B15="No","This comprises £"&amp;VLOOKUP(E15,'Look Ups'!$AF$11:$AK$26,6,FALSE)&amp;" in Application and Design Fees, a £217 Call Off Fee, a £46 Fire Consultation Fee and VAT at 20%.",IF(C15="Yorkshire Water","This comprises £"&amp;VLOOKUP(E15,'Look Ups'!$AF$11:$AK$26,6,FALSE)&amp;" in Application and Design Fees, a £217 Call Off Fee, a £42 Self Lay Agreement Fee, a £46 Fire Consultation Fee and VAT at 20%.","This comprises £"&amp;VLOOKUP(E15,'Look Ups'!$AF$11:$AK$26,6,FALSE)&amp;" in Application and Design Fees, a £217 Call Off Fee, a £42 Self Lay Agreement Fee and VAT at 20%"))),"")</f>
        <v/>
      </c>
      <c r="H15" s="33" t="str">
        <f>IFERROR(IF(AND(B15="No",C15="SLP"),"Not Applicable",(VLOOKUP(E15,'Look Ups'!$AF$11:$AM$26,8,FALSE)*1.2)),"")</f>
        <v/>
      </c>
      <c r="I15" s="33" t="str">
        <f>IFERROR(IF(AND(B15="No",C15="SLP"),"Not Applicable",(VLOOKUP(E15,'Look Ups'!$AF$11:$AN$26,9,FALSE)*1.2)),"")</f>
        <v/>
      </c>
      <c r="K15" s="135"/>
      <c r="L15" s="136"/>
      <c r="M15" s="136"/>
      <c r="N15" s="137"/>
    </row>
    <row r="16" spans="2:14" ht="22" customHeight="1" x14ac:dyDescent="0.35">
      <c r="B16" s="28"/>
      <c r="C16" s="28"/>
      <c r="D16" s="28"/>
      <c r="E16" s="29" t="str">
        <f t="shared" si="0"/>
        <v/>
      </c>
      <c r="F16" s="33" t="str">
        <f>IFERROR(IF(AND(B16="No",C16="SLP"),"Not Applicable",(VLOOKUP(E16,'Look Ups'!$AF$11:$AK$26,6,FALSE)*1.2)),"")</f>
        <v/>
      </c>
      <c r="G16" s="33" t="str">
        <f>IFERROR(IF(AND(B16="No",C16="SLP"),"We do not currently accept SLP Designs For Mains Schemes Where We Are Completing The Main Laying.",IF(B16="No","This comprises £"&amp;VLOOKUP(E16,'Look Ups'!$AF$11:$AK$26,6,FALSE)&amp;" in Application and Design Fees, a £217 Call Off Fee, a £46 Fire Consultation Fee and VAT at 20%.",IF(C16="Yorkshire Water","This comprises £"&amp;VLOOKUP(E16,'Look Ups'!$AF$11:$AK$26,6,FALSE)&amp;" in Application and Design Fees, a £217 Call Off Fee, a £42 Self Lay Agreement Fee, a £46 Fire Consultation Fee and VAT at 20%.","This comprises £"&amp;VLOOKUP(E16,'Look Ups'!$AF$11:$AK$26,6,FALSE)&amp;" in Application and Design Fees, a £217 Call Off Fee, a £42 Self Lay Agreement Fee and VAT at 20%"))),"")</f>
        <v/>
      </c>
      <c r="H16" s="33" t="str">
        <f>IFERROR(IF(AND(B16="No",C16="SLP"),"Not Applicable",(VLOOKUP(E16,'Look Ups'!$AF$11:$AM$26,8,FALSE)*1.2)),"")</f>
        <v/>
      </c>
      <c r="I16" s="33" t="str">
        <f>IFERROR(IF(AND(B16="No",C16="SLP"),"Not Applicable",(VLOOKUP(E16,'Look Ups'!$AF$11:$AN$26,9,FALSE)*1.2)),"")</f>
        <v/>
      </c>
      <c r="K16" s="135"/>
      <c r="L16" s="136"/>
      <c r="M16" s="136"/>
      <c r="N16" s="137"/>
    </row>
    <row r="17" spans="2:14" ht="22" customHeight="1" x14ac:dyDescent="0.35">
      <c r="B17" s="28"/>
      <c r="C17" s="28"/>
      <c r="D17" s="28"/>
      <c r="E17" s="29" t="str">
        <f t="shared" si="0"/>
        <v/>
      </c>
      <c r="F17" s="33" t="str">
        <f>IFERROR(IF(AND(B17="No",C17="SLP"),"Not Applicable",(VLOOKUP(E17,'Look Ups'!$AF$11:$AK$26,6,FALSE)*1.2)),"")</f>
        <v/>
      </c>
      <c r="G17" s="33" t="str">
        <f>IFERROR(IF(AND(B17="No",C17="SLP"),"We do not currently accept SLP Designs For Mains Schemes Where We Are Completing The Main Laying.",IF(B17="No","This comprises £"&amp;VLOOKUP(E17,'Look Ups'!$AF$11:$AK$26,6,FALSE)&amp;" in Application and Design Fees, a £217 Call Off Fee, a £46 Fire Consultation Fee and VAT at 20%.",IF(C17="Yorkshire Water","This comprises £"&amp;VLOOKUP(E17,'Look Ups'!$AF$11:$AK$26,6,FALSE)&amp;" in Application and Design Fees, a £217 Call Off Fee, a £42 Self Lay Agreement Fee, a £46 Fire Consultation Fee and VAT at 20%.","This comprises £"&amp;VLOOKUP(E17,'Look Ups'!$AF$11:$AK$26,6,FALSE)&amp;" in Application and Design Fees, a £217 Call Off Fee, a £42 Self Lay Agreement Fee and VAT at 20%"))),"")</f>
        <v/>
      </c>
      <c r="H17" s="33" t="str">
        <f>IFERROR(IF(AND(B17="No",C17="SLP"),"Not Applicable",(VLOOKUP(E17,'Look Ups'!$AF$11:$AM$26,8,FALSE)*1.2)),"")</f>
        <v/>
      </c>
      <c r="I17" s="33" t="str">
        <f>IFERROR(IF(AND(B17="No",C17="SLP"),"Not Applicable",(VLOOKUP(E17,'Look Ups'!$AF$11:$AN$26,9,FALSE)*1.2)),"")</f>
        <v/>
      </c>
      <c r="K17" s="135"/>
      <c r="L17" s="136"/>
      <c r="M17" s="136"/>
      <c r="N17" s="137"/>
    </row>
    <row r="18" spans="2:14" ht="22" customHeight="1" thickBot="1" x14ac:dyDescent="0.4">
      <c r="B18" s="28"/>
      <c r="C18" s="28"/>
      <c r="D18" s="28"/>
      <c r="E18" s="29" t="str">
        <f t="shared" si="0"/>
        <v/>
      </c>
      <c r="F18" s="33" t="str">
        <f>IFERROR(IF(AND(B18="No",C18="SLP"),"Not Applicable",(VLOOKUP(E18,'Look Ups'!$AF$11:$AK$26,6,FALSE)*1.2)),"")</f>
        <v/>
      </c>
      <c r="G18" s="33" t="str">
        <f>IFERROR(IF(AND(B18="No",C18="SLP"),"We do not currently accept SLP Designs For Mains Schemes Where We Are Completing The Main Laying.",IF(B18="No","This comprises £"&amp;VLOOKUP(E18,'Look Ups'!$AF$11:$AK$26,6,FALSE)&amp;" in Application and Design Fees, a £217 Call Off Fee, a £46 Fire Consultation Fee and VAT at 20%.",IF(C18="Yorkshire Water","This comprises £"&amp;VLOOKUP(E18,'Look Ups'!$AF$11:$AK$26,6,FALSE)&amp;" in Application and Design Fees, a £217 Call Off Fee, a £42 Self Lay Agreement Fee, a £46 Fire Consultation Fee and VAT at 20%.","This comprises £"&amp;VLOOKUP(E18,'Look Ups'!$AF$11:$AK$26,6,FALSE)&amp;" in Application and Design Fees, a £217 Call Off Fee, a £42 Self Lay Agreement Fee and VAT at 20%"))),"")</f>
        <v/>
      </c>
      <c r="H18" s="33" t="str">
        <f>IFERROR(IF(AND(B18="No",C18="SLP"),"Not Applicable",(VLOOKUP(E18,'Look Ups'!$AF$11:$AM$26,8,FALSE)*1.2)),"")</f>
        <v/>
      </c>
      <c r="I18" s="33" t="str">
        <f>IFERROR(IF(AND(B18="No",C18="SLP"),"Not Applicable",(VLOOKUP(E18,'Look Ups'!$AF$11:$AN$26,9,FALSE)*1.2)),"")</f>
        <v/>
      </c>
      <c r="K18" s="138"/>
      <c r="L18" s="139"/>
      <c r="M18" s="139"/>
      <c r="N18" s="140"/>
    </row>
    <row r="19" spans="2:14" ht="22" customHeight="1" x14ac:dyDescent="0.35">
      <c r="B19" s="28"/>
      <c r="C19" s="28"/>
      <c r="D19" s="28"/>
      <c r="E19" s="29" t="str">
        <f t="shared" si="0"/>
        <v/>
      </c>
      <c r="F19" s="33" t="str">
        <f>IFERROR(IF(AND(B19="No",C19="SLP"),"Not Applicable",(VLOOKUP(E19,'Look Ups'!$AF$11:$AK$26,6,FALSE)*1.2)),"")</f>
        <v/>
      </c>
      <c r="G19" s="33" t="str">
        <f>IFERROR(IF(AND(B19="No",C19="SLP"),"We do not currently accept SLP Designs For Mains Schemes Where We Are Completing The Main Laying.",IF(B19="No","This comprises £"&amp;VLOOKUP(E19,'Look Ups'!$AF$11:$AK$26,6,FALSE)&amp;" in Application and Design Fees, a £217 Call Off Fee, a £46 Fire Consultation Fee and VAT at 20%.",IF(C19="Yorkshire Water","This comprises £"&amp;VLOOKUP(E19,'Look Ups'!$AF$11:$AK$26,6,FALSE)&amp;" in Application and Design Fees, a £217 Call Off Fee, a £42 Self Lay Agreement Fee, a £46 Fire Consultation Fee and VAT at 20%.","This comprises £"&amp;VLOOKUP(E19,'Look Ups'!$AF$11:$AK$26,6,FALSE)&amp;" in Application and Design Fees, a £217 Call Off Fee, a £42 Self Lay Agreement Fee and VAT at 20%"))),"")</f>
        <v/>
      </c>
      <c r="H19" s="33" t="str">
        <f>IFERROR(IF(AND(B19="No",C19="SLP"),"Not Applicable",(VLOOKUP(E19,'Look Ups'!$AF$11:$AM$26,8,FALSE)*1.2)),"")</f>
        <v/>
      </c>
      <c r="I19" s="33" t="str">
        <f>IFERROR(IF(AND(B19="No",C19="SLP"),"Not Applicable",(VLOOKUP(E19,'Look Ups'!$AF$11:$AN$26,9,FALSE)*1.2)),"")</f>
        <v/>
      </c>
      <c r="K19" s="141" t="s">
        <v>199</v>
      </c>
      <c r="L19" s="142"/>
      <c r="M19" s="142"/>
      <c r="N19" s="143"/>
    </row>
    <row r="20" spans="2:14" ht="22" customHeight="1" x14ac:dyDescent="0.35">
      <c r="B20" s="28"/>
      <c r="C20" s="28"/>
      <c r="D20" s="28"/>
      <c r="E20" s="29" t="str">
        <f t="shared" si="0"/>
        <v/>
      </c>
      <c r="F20" s="33" t="str">
        <f>IFERROR(IF(AND(B20="No",C20="SLP"),"Not Applicable",(VLOOKUP(E20,'Look Ups'!$AF$11:$AK$26,6,FALSE)*1.2)),"")</f>
        <v/>
      </c>
      <c r="G20" s="33" t="str">
        <f>IFERROR(IF(AND(B20="No",C20="SLP"),"We do not currently accept SLP Designs For Mains Schemes Where We Are Completing The Main Laying.",IF(B20="No","This comprises £"&amp;VLOOKUP(E20,'Look Ups'!$AF$11:$AK$26,6,FALSE)&amp;" in Application and Design Fees, a £217 Call Off Fee, a £46 Fire Consultation Fee and VAT at 20%.",IF(C20="Yorkshire Water","This comprises £"&amp;VLOOKUP(E20,'Look Ups'!$AF$11:$AK$26,6,FALSE)&amp;" in Application and Design Fees, a £217 Call Off Fee, a £42 Self Lay Agreement Fee, a £46 Fire Consultation Fee and VAT at 20%.","This comprises £"&amp;VLOOKUP(E20,'Look Ups'!$AF$11:$AK$26,6,FALSE)&amp;" in Application and Design Fees, a £217 Call Off Fee, a £42 Self Lay Agreement Fee and VAT at 20%"))),"")</f>
        <v/>
      </c>
      <c r="H20" s="33" t="str">
        <f>IFERROR(IF(AND(B20="No",C20="SLP"),"Not Applicable",(VLOOKUP(E20,'Look Ups'!$AF$11:$AM$26,8,FALSE)*1.2)),"")</f>
        <v/>
      </c>
      <c r="I20" s="33" t="str">
        <f>IFERROR(IF(AND(B20="No",C20="SLP"),"Not Applicable",(VLOOKUP(E20,'Look Ups'!$AF$11:$AN$26,9,FALSE)*1.2)),"")</f>
        <v/>
      </c>
      <c r="K20" s="141"/>
      <c r="L20" s="142"/>
      <c r="M20" s="142"/>
      <c r="N20" s="143"/>
    </row>
    <row r="21" spans="2:14" ht="22" customHeight="1" x14ac:dyDescent="0.35">
      <c r="B21" s="28"/>
      <c r="C21" s="28"/>
      <c r="D21" s="28"/>
      <c r="E21" s="29" t="str">
        <f t="shared" si="0"/>
        <v/>
      </c>
      <c r="F21" s="33" t="str">
        <f>IFERROR(IF(AND(B21="No",C21="SLP"),"Not Applicable",(VLOOKUP(E21,'Look Ups'!$AF$11:$AK$26,6,FALSE)*1.2)),"")</f>
        <v/>
      </c>
      <c r="G21" s="33" t="str">
        <f>IFERROR(IF(AND(B21="No",C21="SLP"),"We do not currently accept SLP Designs For Mains Schemes Where We Are Completing The Main Laying.",IF(B21="No","This comprises £"&amp;VLOOKUP(E21,'Look Ups'!$AF$11:$AK$26,6,FALSE)&amp;" in Application and Design Fees, a £217 Call Off Fee, a £46 Fire Consultation Fee and VAT at 20%.",IF(C21="Yorkshire Water","This comprises £"&amp;VLOOKUP(E21,'Look Ups'!$AF$11:$AK$26,6,FALSE)&amp;" in Application and Design Fees, a £217 Call Off Fee, a £42 Self Lay Agreement Fee, a £46 Fire Consultation Fee and VAT at 20%.","This comprises £"&amp;VLOOKUP(E21,'Look Ups'!$AF$11:$AK$26,6,FALSE)&amp;" in Application and Design Fees, a £217 Call Off Fee, a £42 Self Lay Agreement Fee and VAT at 20%"))),"")</f>
        <v/>
      </c>
      <c r="H21" s="33" t="str">
        <f>IFERROR(IF(AND(B21="No",C21="SLP"),"Not Applicable",(VLOOKUP(E21,'Look Ups'!$AF$11:$AM$26,8,FALSE)*1.2)),"")</f>
        <v/>
      </c>
      <c r="I21" s="33" t="str">
        <f>IFERROR(IF(AND(B21="No",C21="SLP"),"Not Applicable",(VLOOKUP(E21,'Look Ups'!$AF$11:$AN$26,9,FALSE)*1.2)),"")</f>
        <v/>
      </c>
      <c r="K21" s="141"/>
      <c r="L21" s="142"/>
      <c r="M21" s="142"/>
      <c r="N21" s="143"/>
    </row>
    <row r="22" spans="2:14" ht="22" customHeight="1" thickBot="1" x14ac:dyDescent="0.4">
      <c r="B22" s="28"/>
      <c r="C22" s="28"/>
      <c r="D22" s="28"/>
      <c r="E22" s="29" t="str">
        <f t="shared" si="0"/>
        <v/>
      </c>
      <c r="F22" s="33" t="str">
        <f>IFERROR(IF(AND(B22="No",C22="SLP"),"Not Applicable",(VLOOKUP(E22,'Look Ups'!$AF$11:$AK$26,6,FALSE)*1.2)),"")</f>
        <v/>
      </c>
      <c r="G22" s="33" t="str">
        <f>IFERROR(IF(AND(B22="No",C22="SLP"),"We do not currently accept SLP Designs For Mains Schemes Where We Are Completing The Main Laying.",IF(B22="No","This comprises £"&amp;VLOOKUP(E22,'Look Ups'!$AF$11:$AK$26,6,FALSE)&amp;" in Application and Design Fees, a £217 Call Off Fee, a £46 Fire Consultation Fee and VAT at 20%.",IF(C22="Yorkshire Water","This comprises £"&amp;VLOOKUP(E22,'Look Ups'!$AF$11:$AK$26,6,FALSE)&amp;" in Application and Design Fees, a £217 Call Off Fee, a £42 Self Lay Agreement Fee, a £46 Fire Consultation Fee and VAT at 20%.","This comprises £"&amp;VLOOKUP(E22,'Look Ups'!$AF$11:$AK$26,6,FALSE)&amp;" in Application and Design Fees, a £217 Call Off Fee, a £42 Self Lay Agreement Fee and VAT at 20%"))),"")</f>
        <v/>
      </c>
      <c r="H22" s="33" t="str">
        <f>IFERROR(IF(AND(B22="No",C22="SLP"),"Not Applicable",(VLOOKUP(E22,'Look Ups'!$AF$11:$AM$26,8,FALSE)*1.2)),"")</f>
        <v/>
      </c>
      <c r="I22" s="33" t="str">
        <f>IFERROR(IF(AND(B22="No",C22="SLP"),"Not Applicable",(VLOOKUP(E22,'Look Ups'!$AF$11:$AN$26,9,FALSE)*1.2)),"")</f>
        <v/>
      </c>
      <c r="K22" s="144"/>
      <c r="L22" s="145"/>
      <c r="M22" s="145"/>
      <c r="N22" s="146"/>
    </row>
    <row r="23" spans="2:14" ht="15" thickTop="1" x14ac:dyDescent="0.35"/>
    <row r="24" spans="2:14" hidden="1" x14ac:dyDescent="0.35">
      <c r="B24" s="131"/>
      <c r="C24" s="131"/>
      <c r="D24" s="131"/>
      <c r="E24" s="131"/>
      <c r="F24" s="131"/>
      <c r="G24" s="131"/>
      <c r="H24" s="131"/>
      <c r="I24" s="131"/>
    </row>
    <row r="25" spans="2:14" hidden="1" x14ac:dyDescent="0.35">
      <c r="B25" s="131"/>
      <c r="C25" s="131"/>
      <c r="D25" s="131"/>
      <c r="E25" s="131"/>
      <c r="F25" s="131"/>
      <c r="G25" s="131"/>
      <c r="H25" s="131"/>
      <c r="I25" s="131"/>
    </row>
    <row r="26" spans="2:14" hidden="1" x14ac:dyDescent="0.35">
      <c r="B26" s="131"/>
      <c r="C26" s="131"/>
      <c r="D26" s="131"/>
      <c r="E26" s="131"/>
      <c r="F26" s="131"/>
      <c r="G26" s="131"/>
      <c r="H26" s="131"/>
      <c r="I26" s="131"/>
    </row>
    <row r="27" spans="2:14" hidden="1" x14ac:dyDescent="0.35">
      <c r="B27" s="131"/>
      <c r="C27" s="131"/>
      <c r="D27" s="131"/>
      <c r="E27" s="131"/>
      <c r="F27" s="131"/>
      <c r="G27" s="131"/>
      <c r="H27" s="131"/>
      <c r="I27" s="131"/>
    </row>
    <row r="28" spans="2:14" hidden="1" x14ac:dyDescent="0.35">
      <c r="B28" s="131"/>
      <c r="C28" s="131"/>
      <c r="D28" s="131"/>
      <c r="E28" s="131"/>
      <c r="F28" s="131"/>
      <c r="G28" s="131"/>
      <c r="H28" s="131"/>
      <c r="I28" s="131"/>
    </row>
    <row r="29" spans="2:14" hidden="1" x14ac:dyDescent="0.35">
      <c r="B29" s="131"/>
      <c r="C29" s="131"/>
      <c r="D29" s="131"/>
      <c r="E29" s="131"/>
      <c r="F29" s="131"/>
      <c r="G29" s="131"/>
      <c r="H29" s="131"/>
      <c r="I29" s="131"/>
    </row>
  </sheetData>
  <sheetProtection algorithmName="SHA-512" hashValue="idYxIp4dJega6+XOey3U02EmfsjiTGgfxHS6TNdIkqvDxNb9qndTMQ0ccVbgQY9THa+MESqrrJWkkzLJhx+oVQ==" saltValue="sEiMb/wnMtJpPUXD1omVGQ==" spinCount="100000" sheet="1" objects="1" scenarios="1"/>
  <mergeCells count="4">
    <mergeCell ref="C2:I2"/>
    <mergeCell ref="B24:I29"/>
    <mergeCell ref="K4:N18"/>
    <mergeCell ref="K19:N22"/>
  </mergeCells>
  <conditionalFormatting sqref="F5:I22">
    <cfRule type="expression" dxfId="27" priority="1">
      <formula>$C$2="Please confirm your acceptance of the Terms of Use"</formula>
    </cfRule>
    <cfRule type="expression" dxfId="26" priority="2">
      <formula>$C$2="Please refer to Front Page"</formula>
    </cfRule>
  </conditionalFormatting>
  <hyperlinks>
    <hyperlink ref="K19:N22" r:id="rId1" display="New Connections Charging Arrangements" xr:uid="{51C01650-73D7-4D86-B540-12BD14B03139}"/>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EB1B6442-AB93-4958-B4D5-33CF65D47ABD}">
          <x14:formula1>
            <xm:f>Lists!$D$1:$D$2</xm:f>
          </x14:formula1>
          <xm:sqref>B5:B22</xm:sqref>
        </x14:dataValidation>
        <x14:dataValidation type="list" allowBlank="1" showInputMessage="1" showErrorMessage="1" xr:uid="{691AF6DB-CAB9-4DB0-BF23-B8A1AB914FC2}">
          <x14:formula1>
            <xm:f>Lists!$E$1:$E$2</xm:f>
          </x14:formula1>
          <xm:sqref>C5:C22</xm:sqref>
        </x14:dataValidation>
        <x14:dataValidation type="list" allowBlank="1" showInputMessage="1" showErrorMessage="1" xr:uid="{0C31A42D-D4FF-4F9D-B011-57436AE1692F}">
          <x14:formula1>
            <xm:f>Lists!$F$1:$F$4</xm:f>
          </x14:formula1>
          <xm:sqref>D5:D22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B5150-30B5-4667-9200-963751A8C995}">
  <sheetPr codeName="Sheet5">
    <tabColor theme="9" tint="0.39997558519241921"/>
  </sheetPr>
  <dimension ref="A1:R23"/>
  <sheetViews>
    <sheetView showGridLines="0" showRowColHeaders="0" workbookViewId="0">
      <selection activeCell="E5" sqref="E5"/>
    </sheetView>
  </sheetViews>
  <sheetFormatPr defaultColWidth="0" defaultRowHeight="14.5" zeroHeight="1" x14ac:dyDescent="0.35"/>
  <cols>
    <col min="1" max="1" width="3.453125" style="10" customWidth="1"/>
    <col min="2" max="2" width="22.7265625" style="10" customWidth="1"/>
    <col min="3" max="3" width="20.26953125" style="10" customWidth="1"/>
    <col min="4" max="4" width="19" style="10" customWidth="1"/>
    <col min="5" max="5" width="15.81640625" style="10" customWidth="1"/>
    <col min="6" max="6" width="23.453125" style="10" hidden="1" customWidth="1"/>
    <col min="7" max="7" width="34.26953125" style="10" customWidth="1"/>
    <col min="8" max="8" width="3.453125" style="10" customWidth="1"/>
    <col min="9" max="13" width="8.7265625" style="10" customWidth="1"/>
    <col min="14" max="18" width="0" style="10" hidden="1" customWidth="1"/>
    <col min="19" max="16384" width="8.7265625" style="10" hidden="1"/>
  </cols>
  <sheetData>
    <row r="1" spans="2:18" ht="14.5" customHeight="1" x14ac:dyDescent="0.35"/>
    <row r="2" spans="2:18" ht="21.5" x14ac:dyDescent="0.9">
      <c r="B2" s="22" t="s">
        <v>78</v>
      </c>
      <c r="C2" s="147" t="str">
        <f>IF(Lists!W6="LOCKED","Please confirm your acceptance of the Terms of Use",SUM(G5:G22))</f>
        <v>Please confirm your acceptance of the Terms of Use</v>
      </c>
      <c r="D2" s="147"/>
      <c r="E2" s="147"/>
      <c r="F2" s="147"/>
      <c r="G2" s="147"/>
    </row>
    <row r="3" spans="2:18" ht="14.5" customHeight="1" thickBot="1" x14ac:dyDescent="0.95">
      <c r="B3" s="13"/>
      <c r="C3" s="23"/>
      <c r="D3" s="13"/>
      <c r="E3" s="13"/>
      <c r="F3" s="13"/>
      <c r="G3" s="13"/>
    </row>
    <row r="4" spans="2:18" ht="21.65" customHeight="1" thickTop="1" x14ac:dyDescent="1.1499999999999999">
      <c r="B4" s="26" t="s">
        <v>210</v>
      </c>
      <c r="C4" s="26" t="s">
        <v>211</v>
      </c>
      <c r="D4" s="26" t="s">
        <v>212</v>
      </c>
      <c r="E4" s="26" t="s">
        <v>213</v>
      </c>
      <c r="F4" s="14" t="s">
        <v>7</v>
      </c>
      <c r="G4" s="27" t="s">
        <v>13</v>
      </c>
      <c r="I4" s="148" t="s">
        <v>215</v>
      </c>
      <c r="J4" s="149"/>
      <c r="K4" s="149"/>
      <c r="L4" s="150"/>
      <c r="M4" s="25"/>
      <c r="N4" s="25"/>
      <c r="O4" s="25"/>
      <c r="P4" s="25"/>
      <c r="Q4" s="25"/>
      <c r="R4" s="25"/>
    </row>
    <row r="5" spans="2:18" ht="22" customHeight="1" x14ac:dyDescent="1.1499999999999999">
      <c r="B5" s="28"/>
      <c r="C5" s="28"/>
      <c r="D5" s="28"/>
      <c r="E5" s="28"/>
      <c r="F5" s="29" t="str">
        <f>B5&amp;C5&amp;D5&amp;E5</f>
        <v/>
      </c>
      <c r="G5" s="34" t="str">
        <f>IFERROR(VLOOKUP(F5,'Look Ups'!D$11:E$58,2,FALSE),"")</f>
        <v/>
      </c>
      <c r="I5" s="151"/>
      <c r="J5" s="152"/>
      <c r="K5" s="152"/>
      <c r="L5" s="153"/>
      <c r="M5" s="25"/>
      <c r="N5" s="25"/>
      <c r="O5" s="25"/>
      <c r="P5" s="25"/>
      <c r="Q5" s="25"/>
      <c r="R5" s="25"/>
    </row>
    <row r="6" spans="2:18" ht="22" customHeight="1" x14ac:dyDescent="1.1499999999999999">
      <c r="B6" s="28"/>
      <c r="C6" s="28"/>
      <c r="D6" s="28"/>
      <c r="E6" s="28"/>
      <c r="F6" s="29" t="str">
        <f t="shared" ref="F6:F22" si="0">B6&amp;C6&amp;D6&amp;E6</f>
        <v/>
      </c>
      <c r="G6" s="34" t="str">
        <f>IFERROR(VLOOKUP(F6,'Look Ups'!D$11:E$58,2,FALSE),"")</f>
        <v/>
      </c>
      <c r="I6" s="151"/>
      <c r="J6" s="152"/>
      <c r="K6" s="152"/>
      <c r="L6" s="153"/>
      <c r="M6" s="25"/>
      <c r="N6" s="25"/>
      <c r="O6" s="25"/>
      <c r="P6" s="25"/>
      <c r="Q6" s="25"/>
      <c r="R6" s="25"/>
    </row>
    <row r="7" spans="2:18" ht="22" customHeight="1" x14ac:dyDescent="1.1499999999999999">
      <c r="B7" s="28"/>
      <c r="C7" s="28"/>
      <c r="D7" s="28"/>
      <c r="E7" s="28"/>
      <c r="F7" s="29" t="str">
        <f t="shared" si="0"/>
        <v/>
      </c>
      <c r="G7" s="34" t="str">
        <f>IFERROR(VLOOKUP(F7,'Look Ups'!D$11:E$58,2,FALSE),"")</f>
        <v/>
      </c>
      <c r="I7" s="151"/>
      <c r="J7" s="152"/>
      <c r="K7" s="152"/>
      <c r="L7" s="153"/>
      <c r="M7" s="25"/>
      <c r="N7" s="25"/>
      <c r="O7" s="25"/>
      <c r="P7" s="25"/>
      <c r="Q7" s="25"/>
      <c r="R7" s="25"/>
    </row>
    <row r="8" spans="2:18" ht="22" customHeight="1" x14ac:dyDescent="1.1499999999999999">
      <c r="B8" s="28"/>
      <c r="C8" s="28"/>
      <c r="D8" s="28"/>
      <c r="E8" s="28"/>
      <c r="F8" s="29" t="str">
        <f t="shared" si="0"/>
        <v/>
      </c>
      <c r="G8" s="34" t="str">
        <f>IFERROR(VLOOKUP(F8,'Look Ups'!D$11:E$58,2,FALSE),"")</f>
        <v/>
      </c>
      <c r="I8" s="151"/>
      <c r="J8" s="152"/>
      <c r="K8" s="152"/>
      <c r="L8" s="153"/>
      <c r="M8" s="25"/>
      <c r="N8" s="25"/>
      <c r="O8" s="25"/>
      <c r="P8" s="25"/>
      <c r="Q8" s="25"/>
      <c r="R8" s="25"/>
    </row>
    <row r="9" spans="2:18" ht="22" customHeight="1" x14ac:dyDescent="1.1499999999999999">
      <c r="B9" s="28"/>
      <c r="C9" s="28"/>
      <c r="D9" s="28"/>
      <c r="E9" s="28"/>
      <c r="F9" s="29" t="str">
        <f t="shared" si="0"/>
        <v/>
      </c>
      <c r="G9" s="34" t="str">
        <f>IFERROR(VLOOKUP(F9,'Look Ups'!D$11:E$58,2,FALSE),"")</f>
        <v/>
      </c>
      <c r="I9" s="151"/>
      <c r="J9" s="152"/>
      <c r="K9" s="152"/>
      <c r="L9" s="153"/>
      <c r="M9" s="25"/>
      <c r="N9" s="25"/>
      <c r="O9" s="25"/>
      <c r="P9" s="25"/>
      <c r="Q9" s="25"/>
      <c r="R9" s="25"/>
    </row>
    <row r="10" spans="2:18" ht="22" customHeight="1" x14ac:dyDescent="1.1499999999999999">
      <c r="B10" s="28"/>
      <c r="C10" s="28"/>
      <c r="D10" s="28"/>
      <c r="E10" s="28"/>
      <c r="F10" s="29" t="str">
        <f t="shared" si="0"/>
        <v/>
      </c>
      <c r="G10" s="34" t="str">
        <f>IFERROR(VLOOKUP(F10,'Look Ups'!D$11:E$58,2,FALSE),"")</f>
        <v/>
      </c>
      <c r="I10" s="151"/>
      <c r="J10" s="152"/>
      <c r="K10" s="152"/>
      <c r="L10" s="153"/>
      <c r="M10" s="25"/>
      <c r="N10" s="25"/>
      <c r="O10" s="25"/>
      <c r="P10" s="25"/>
      <c r="Q10" s="25"/>
      <c r="R10" s="25"/>
    </row>
    <row r="11" spans="2:18" ht="22" customHeight="1" x14ac:dyDescent="1.1499999999999999">
      <c r="B11" s="28"/>
      <c r="C11" s="28"/>
      <c r="D11" s="28"/>
      <c r="E11" s="28"/>
      <c r="F11" s="29" t="str">
        <f t="shared" si="0"/>
        <v/>
      </c>
      <c r="G11" s="34" t="str">
        <f>IFERROR(VLOOKUP(F11,'Look Ups'!D$11:E$58,2,FALSE),"")</f>
        <v/>
      </c>
      <c r="I11" s="151"/>
      <c r="J11" s="152"/>
      <c r="K11" s="152"/>
      <c r="L11" s="153"/>
      <c r="M11" s="25"/>
      <c r="N11" s="25"/>
      <c r="O11" s="25"/>
      <c r="P11" s="25"/>
      <c r="Q11" s="25"/>
      <c r="R11" s="25"/>
    </row>
    <row r="12" spans="2:18" ht="22" customHeight="1" x14ac:dyDescent="1.1499999999999999">
      <c r="B12" s="28"/>
      <c r="C12" s="28"/>
      <c r="D12" s="28"/>
      <c r="E12" s="28"/>
      <c r="F12" s="29" t="str">
        <f t="shared" si="0"/>
        <v/>
      </c>
      <c r="G12" s="34" t="str">
        <f>IFERROR(VLOOKUP(F12,'Look Ups'!D$11:E$58,2,FALSE),"")</f>
        <v/>
      </c>
      <c r="I12" s="151"/>
      <c r="J12" s="152"/>
      <c r="K12" s="152"/>
      <c r="L12" s="153"/>
      <c r="M12" s="25"/>
      <c r="N12" s="25"/>
      <c r="O12" s="25"/>
      <c r="P12" s="25"/>
      <c r="Q12" s="25"/>
      <c r="R12" s="25"/>
    </row>
    <row r="13" spans="2:18" ht="22" customHeight="1" x14ac:dyDescent="1.1499999999999999">
      <c r="B13" s="28"/>
      <c r="C13" s="28"/>
      <c r="D13" s="28"/>
      <c r="E13" s="28"/>
      <c r="F13" s="29" t="str">
        <f t="shared" si="0"/>
        <v/>
      </c>
      <c r="G13" s="34" t="str">
        <f>IFERROR(VLOOKUP(F13,'Look Ups'!D$11:E$58,2,FALSE),"")</f>
        <v/>
      </c>
      <c r="I13" s="151"/>
      <c r="J13" s="152"/>
      <c r="K13" s="152"/>
      <c r="L13" s="153"/>
      <c r="M13" s="25"/>
      <c r="N13" s="25"/>
      <c r="O13" s="25"/>
      <c r="P13" s="25"/>
      <c r="Q13" s="25"/>
      <c r="R13" s="25"/>
    </row>
    <row r="14" spans="2:18" ht="22" customHeight="1" x14ac:dyDescent="1.1499999999999999">
      <c r="B14" s="28"/>
      <c r="C14" s="28"/>
      <c r="D14" s="28"/>
      <c r="E14" s="28"/>
      <c r="F14" s="29" t="str">
        <f t="shared" si="0"/>
        <v/>
      </c>
      <c r="G14" s="34" t="str">
        <f>IFERROR(VLOOKUP(F14,'Look Ups'!D$11:E$58,2,FALSE),"")</f>
        <v/>
      </c>
      <c r="I14" s="151"/>
      <c r="J14" s="152"/>
      <c r="K14" s="152"/>
      <c r="L14" s="153"/>
      <c r="M14" s="25"/>
      <c r="N14" s="25"/>
      <c r="O14" s="25"/>
      <c r="P14" s="25"/>
      <c r="Q14" s="25"/>
      <c r="R14" s="25"/>
    </row>
    <row r="15" spans="2:18" ht="22" customHeight="1" x14ac:dyDescent="1.1499999999999999">
      <c r="B15" s="28"/>
      <c r="C15" s="28"/>
      <c r="D15" s="28"/>
      <c r="E15" s="28"/>
      <c r="F15" s="29" t="str">
        <f t="shared" si="0"/>
        <v/>
      </c>
      <c r="G15" s="34" t="str">
        <f>IFERROR(VLOOKUP(F15,'Look Ups'!D$11:E$58,2,FALSE),"")</f>
        <v/>
      </c>
      <c r="I15" s="151"/>
      <c r="J15" s="152"/>
      <c r="K15" s="152"/>
      <c r="L15" s="153"/>
      <c r="M15" s="25"/>
      <c r="N15" s="25"/>
      <c r="O15" s="25"/>
      <c r="P15" s="25"/>
      <c r="Q15" s="25"/>
      <c r="R15" s="25"/>
    </row>
    <row r="16" spans="2:18" ht="22" customHeight="1" x14ac:dyDescent="1.1499999999999999">
      <c r="B16" s="28"/>
      <c r="C16" s="28"/>
      <c r="D16" s="28"/>
      <c r="E16" s="28"/>
      <c r="F16" s="29" t="str">
        <f t="shared" si="0"/>
        <v/>
      </c>
      <c r="G16" s="34" t="str">
        <f>IFERROR(VLOOKUP(F16,'Look Ups'!D$11:E$58,2,FALSE),"")</f>
        <v/>
      </c>
      <c r="I16" s="151"/>
      <c r="J16" s="152"/>
      <c r="K16" s="152"/>
      <c r="L16" s="153"/>
      <c r="M16" s="25"/>
      <c r="N16" s="25"/>
      <c r="O16" s="25"/>
      <c r="P16" s="25"/>
      <c r="Q16" s="25"/>
      <c r="R16" s="25"/>
    </row>
    <row r="17" spans="2:12" ht="22" customHeight="1" x14ac:dyDescent="0.35">
      <c r="B17" s="28"/>
      <c r="C17" s="28"/>
      <c r="D17" s="28"/>
      <c r="E17" s="28"/>
      <c r="F17" s="29" t="str">
        <f t="shared" si="0"/>
        <v/>
      </c>
      <c r="G17" s="34" t="str">
        <f>IFERROR(VLOOKUP(F17,'Look Ups'!D$11:E$58,2,FALSE),"")</f>
        <v/>
      </c>
      <c r="I17" s="151"/>
      <c r="J17" s="152"/>
      <c r="K17" s="152"/>
      <c r="L17" s="153"/>
    </row>
    <row r="18" spans="2:12" ht="22" customHeight="1" thickBot="1" x14ac:dyDescent="0.4">
      <c r="B18" s="28"/>
      <c r="C18" s="28"/>
      <c r="D18" s="28"/>
      <c r="E18" s="28"/>
      <c r="F18" s="29" t="str">
        <f t="shared" si="0"/>
        <v/>
      </c>
      <c r="G18" s="34" t="str">
        <f>IFERROR(VLOOKUP(F18,'Look Ups'!D$11:E$58,2,FALSE),"")</f>
        <v/>
      </c>
      <c r="I18" s="154"/>
      <c r="J18" s="155"/>
      <c r="K18" s="155"/>
      <c r="L18" s="156"/>
    </row>
    <row r="19" spans="2:12" ht="22" customHeight="1" thickTop="1" x14ac:dyDescent="0.35">
      <c r="B19" s="28"/>
      <c r="C19" s="28"/>
      <c r="D19" s="28"/>
      <c r="E19" s="28"/>
      <c r="F19" s="29" t="str">
        <f t="shared" si="0"/>
        <v/>
      </c>
      <c r="G19" s="34" t="str">
        <f>IFERROR(VLOOKUP(F19,'Look Ups'!D$11:E$58,2,FALSE),"")</f>
        <v/>
      </c>
    </row>
    <row r="20" spans="2:12" ht="22" customHeight="1" x14ac:dyDescent="0.35">
      <c r="B20" s="28"/>
      <c r="C20" s="28"/>
      <c r="D20" s="28"/>
      <c r="E20" s="28"/>
      <c r="F20" s="29" t="str">
        <f t="shared" si="0"/>
        <v/>
      </c>
      <c r="G20" s="34" t="str">
        <f>IFERROR(VLOOKUP(F20,'Look Ups'!D$11:E$58,2,FALSE),"")</f>
        <v/>
      </c>
    </row>
    <row r="21" spans="2:12" ht="22" customHeight="1" x14ac:dyDescent="0.35">
      <c r="B21" s="28"/>
      <c r="C21" s="28"/>
      <c r="D21" s="28"/>
      <c r="E21" s="28"/>
      <c r="F21" s="29" t="str">
        <f t="shared" si="0"/>
        <v/>
      </c>
      <c r="G21" s="34" t="str">
        <f>IFERROR(VLOOKUP(F21,'Look Ups'!D$11:E$58,2,FALSE),"")</f>
        <v/>
      </c>
    </row>
    <row r="22" spans="2:12" ht="22" customHeight="1" x14ac:dyDescent="0.35">
      <c r="B22" s="28"/>
      <c r="C22" s="28"/>
      <c r="D22" s="28"/>
      <c r="E22" s="28"/>
      <c r="F22" s="29" t="str">
        <f t="shared" si="0"/>
        <v/>
      </c>
      <c r="G22" s="34" t="str">
        <f>IFERROR(VLOOKUP(F22,'Look Ups'!D$11:E$58,2,FALSE),"")</f>
        <v/>
      </c>
    </row>
    <row r="23" spans="2:12" x14ac:dyDescent="0.35"/>
  </sheetData>
  <sheetProtection algorithmName="SHA-512" hashValue="o559p6ZMAfUDf/m4rIq3cKapjXtire5i+JaBeEEps22RRpuSpvSYZakL8uwlsNLAQXbdnEeuD/D/YHol90rtjQ==" saltValue="NhOSgkMb5B7W8Skt33LaCQ==" spinCount="100000" sheet="1" objects="1" scenarios="1"/>
  <mergeCells count="2">
    <mergeCell ref="C2:G2"/>
    <mergeCell ref="I4:L18"/>
  </mergeCells>
  <conditionalFormatting sqref="G5:G22">
    <cfRule type="expression" dxfId="25" priority="1">
      <formula>$C$2="Please confirm your acceptance of the Terms of Use"</formula>
    </cfRule>
    <cfRule type="expression" dxfId="24" priority="2">
      <formula>$C$2="Please refer to Front Page"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A8975E-FE7C-4271-8D18-16A857F6E418}">
          <x14:formula1>
            <xm:f>Lists!$A$1:$A$2</xm:f>
          </x14:formula1>
          <xm:sqref>B5:B1048576</xm:sqref>
        </x14:dataValidation>
        <x14:dataValidation type="list" allowBlank="1" showInputMessage="1" showErrorMessage="1" xr:uid="{E97D27F9-36EF-441B-93E5-6088DE04A759}">
          <x14:formula1>
            <xm:f>Lists!$B$1:$B$3</xm:f>
          </x14:formula1>
          <xm:sqref>C5:C1048576</xm:sqref>
        </x14:dataValidation>
        <x14:dataValidation type="list" allowBlank="1" showInputMessage="1" showErrorMessage="1" xr:uid="{E0CEE90E-73BB-4D23-9BA4-B5C021E94A8E}">
          <x14:formula1>
            <xm:f>Lists!$C$1:$C$4</xm:f>
          </x14:formula1>
          <xm:sqref>E23:E1048576 D5:D1048576</xm:sqref>
        </x14:dataValidation>
        <x14:dataValidation type="list" allowBlank="1" showInputMessage="1" showErrorMessage="1" xr:uid="{47CE80C4-02E8-45AC-A8D1-FE445A75B10C}">
          <x14:formula1>
            <xm:f>Lists!$D$1:$D$2</xm:f>
          </x14:formula1>
          <xm:sqref>E5:E22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A2FB-2DE9-4F5D-9DBA-659CBC35FA07}">
  <sheetPr codeName="Sheet6">
    <tabColor theme="9" tint="0.39997558519241921"/>
  </sheetPr>
  <dimension ref="A1:X23"/>
  <sheetViews>
    <sheetView showGridLines="0" showRowColHeaders="0" workbookViewId="0">
      <selection activeCell="F5" sqref="F5"/>
    </sheetView>
  </sheetViews>
  <sheetFormatPr defaultColWidth="0" defaultRowHeight="21.5" zeroHeight="1" x14ac:dyDescent="0.9"/>
  <cols>
    <col min="1" max="1" width="3.453125" style="13" customWidth="1"/>
    <col min="2" max="2" width="22.81640625" style="13" customWidth="1"/>
    <col min="3" max="3" width="18.7265625" style="13" customWidth="1"/>
    <col min="4" max="4" width="19" style="13" customWidth="1"/>
    <col min="5" max="5" width="18.1796875" style="13" customWidth="1"/>
    <col min="6" max="6" width="11" style="13" customWidth="1"/>
    <col min="7" max="7" width="9.7265625" style="13" hidden="1" customWidth="1"/>
    <col min="8" max="8" width="13.54296875" style="13" hidden="1" customWidth="1"/>
    <col min="9" max="9" width="20.54296875" style="13" hidden="1" customWidth="1"/>
    <col min="10" max="10" width="35.453125" style="13" customWidth="1"/>
    <col min="11" max="11" width="3.453125" style="13" customWidth="1"/>
    <col min="12" max="16" width="8.7265625" style="13" customWidth="1"/>
    <col min="17" max="24" width="0" style="13" hidden="1" customWidth="1"/>
    <col min="25" max="16384" width="8.7265625" style="13" hidden="1"/>
  </cols>
  <sheetData>
    <row r="1" spans="2:24" ht="14.5" customHeight="1" x14ac:dyDescent="0.9"/>
    <row r="2" spans="2:24" x14ac:dyDescent="0.9">
      <c r="B2" s="32" t="s">
        <v>79</v>
      </c>
      <c r="C2" s="157" t="str">
        <f>IF(Lists!W6="LOCKED","Please confirm your acceptance of the Terms of Use",SUM(J5:J22))</f>
        <v>Please confirm your acceptance of the Terms of Use</v>
      </c>
      <c r="D2" s="157"/>
      <c r="E2" s="157"/>
      <c r="F2" s="157"/>
      <c r="G2" s="157"/>
      <c r="H2" s="157"/>
      <c r="I2" s="157"/>
      <c r="J2" s="157"/>
    </row>
    <row r="3" spans="2:24" ht="14.5" customHeight="1" thickBot="1" x14ac:dyDescent="0.95">
      <c r="B3" s="30"/>
      <c r="C3" s="31"/>
      <c r="D3" s="30"/>
      <c r="E3" s="30"/>
      <c r="F3" s="30"/>
      <c r="G3" s="30"/>
      <c r="H3" s="30"/>
      <c r="I3" s="30"/>
      <c r="J3" s="30"/>
    </row>
    <row r="4" spans="2:24" ht="22" thickTop="1" x14ac:dyDescent="0.9">
      <c r="B4" s="35" t="s">
        <v>210</v>
      </c>
      <c r="C4" s="35" t="s">
        <v>211</v>
      </c>
      <c r="D4" s="35" t="s">
        <v>212</v>
      </c>
      <c r="E4" s="35" t="s">
        <v>214</v>
      </c>
      <c r="F4" s="35" t="s">
        <v>15</v>
      </c>
      <c r="G4" s="29" t="s">
        <v>14</v>
      </c>
      <c r="H4" s="29" t="s">
        <v>18</v>
      </c>
      <c r="I4" s="29" t="s">
        <v>67</v>
      </c>
      <c r="J4" s="27" t="s">
        <v>13</v>
      </c>
      <c r="L4" s="148" t="s">
        <v>216</v>
      </c>
      <c r="M4" s="158"/>
      <c r="N4" s="158"/>
      <c r="O4" s="159"/>
    </row>
    <row r="5" spans="2:24" ht="22" customHeight="1" x14ac:dyDescent="1.1499999999999999">
      <c r="B5" s="36"/>
      <c r="C5" s="36"/>
      <c r="D5" s="36"/>
      <c r="E5" s="36"/>
      <c r="F5" s="36"/>
      <c r="G5" s="29" t="str">
        <f>B5&amp;C5&amp;D5&amp;E5</f>
        <v/>
      </c>
      <c r="H5" s="29" t="str">
        <f>IFERROR(VLOOKUP(G5,'Look Ups'!I$11:J$58,2,FALSE),"")</f>
        <v/>
      </c>
      <c r="I5" s="29" t="str">
        <f>IFERROR(VLOOKUP(G5,'Look Ups'!I$11:K$58,3,FALSE),"")</f>
        <v/>
      </c>
      <c r="J5" s="33" t="str">
        <f>IFERROR((F5*H5)+(F5*I5),"")</f>
        <v/>
      </c>
      <c r="L5" s="160"/>
      <c r="M5" s="161"/>
      <c r="N5" s="161"/>
      <c r="O5" s="162"/>
      <c r="P5" s="25"/>
      <c r="Q5" s="25"/>
      <c r="R5" s="25"/>
      <c r="S5" s="25"/>
      <c r="T5" s="25"/>
      <c r="U5" s="25"/>
      <c r="V5" s="25"/>
      <c r="W5" s="25"/>
      <c r="X5" s="25"/>
    </row>
    <row r="6" spans="2:24" ht="22" customHeight="1" x14ac:dyDescent="1.1499999999999999">
      <c r="B6" s="36"/>
      <c r="C6" s="36"/>
      <c r="D6" s="36"/>
      <c r="E6" s="36"/>
      <c r="F6" s="36"/>
      <c r="G6" s="29" t="str">
        <f t="shared" ref="G6:G22" si="0">B6&amp;C6&amp;D6&amp;E6</f>
        <v/>
      </c>
      <c r="H6" s="29" t="str">
        <f>IFERROR(VLOOKUP(G6,'Look Ups'!I$11:J$58,2,FALSE),"")</f>
        <v/>
      </c>
      <c r="I6" s="29" t="str">
        <f>IFERROR(VLOOKUP(G6,'Look Ups'!I$11:K$58,3,FALSE),"")</f>
        <v/>
      </c>
      <c r="J6" s="33" t="str">
        <f t="shared" ref="J6:J22" si="1">IFERROR((F6*H6)+(F6*I6),"")</f>
        <v/>
      </c>
      <c r="L6" s="160"/>
      <c r="M6" s="161"/>
      <c r="N6" s="161"/>
      <c r="O6" s="162"/>
      <c r="P6" s="25"/>
      <c r="Q6" s="25"/>
      <c r="R6" s="25"/>
      <c r="S6" s="25"/>
      <c r="T6" s="25"/>
      <c r="U6" s="25"/>
      <c r="V6" s="25"/>
      <c r="W6" s="25"/>
      <c r="X6" s="25"/>
    </row>
    <row r="7" spans="2:24" ht="22" customHeight="1" x14ac:dyDescent="1.1499999999999999">
      <c r="B7" s="36"/>
      <c r="C7" s="36"/>
      <c r="D7" s="36"/>
      <c r="E7" s="36"/>
      <c r="F7" s="36"/>
      <c r="G7" s="29" t="str">
        <f t="shared" si="0"/>
        <v/>
      </c>
      <c r="H7" s="29" t="str">
        <f>IFERROR(VLOOKUP(G7,'Look Ups'!I$11:J$58,2,FALSE),"")</f>
        <v/>
      </c>
      <c r="I7" s="29" t="str">
        <f>IFERROR(VLOOKUP(G7,'Look Ups'!I$11:K$58,3,FALSE),"")</f>
        <v/>
      </c>
      <c r="J7" s="33" t="str">
        <f t="shared" si="1"/>
        <v/>
      </c>
      <c r="L7" s="160"/>
      <c r="M7" s="161"/>
      <c r="N7" s="161"/>
      <c r="O7" s="162"/>
      <c r="P7" s="25"/>
      <c r="Q7" s="25"/>
      <c r="R7" s="25"/>
      <c r="S7" s="25"/>
      <c r="T7" s="25"/>
      <c r="U7" s="25"/>
      <c r="V7" s="25"/>
      <c r="W7" s="25"/>
      <c r="X7" s="25"/>
    </row>
    <row r="8" spans="2:24" ht="22" customHeight="1" x14ac:dyDescent="1.1499999999999999">
      <c r="B8" s="36"/>
      <c r="C8" s="36"/>
      <c r="D8" s="36"/>
      <c r="E8" s="36"/>
      <c r="F8" s="36"/>
      <c r="G8" s="29" t="str">
        <f t="shared" si="0"/>
        <v/>
      </c>
      <c r="H8" s="29" t="str">
        <f>IFERROR(VLOOKUP(G8,'Look Ups'!I$11:J$58,2,FALSE),"")</f>
        <v/>
      </c>
      <c r="I8" s="29" t="str">
        <f>IFERROR(VLOOKUP(G8,'Look Ups'!I$11:K$58,3,FALSE),"")</f>
        <v/>
      </c>
      <c r="J8" s="33" t="str">
        <f t="shared" si="1"/>
        <v/>
      </c>
      <c r="L8" s="160"/>
      <c r="M8" s="161"/>
      <c r="N8" s="161"/>
      <c r="O8" s="162"/>
      <c r="P8" s="25"/>
      <c r="Q8" s="25"/>
      <c r="R8" s="25"/>
      <c r="S8" s="25"/>
      <c r="T8" s="25"/>
      <c r="U8" s="25"/>
      <c r="V8" s="25"/>
      <c r="W8" s="25"/>
      <c r="X8" s="25"/>
    </row>
    <row r="9" spans="2:24" ht="22" customHeight="1" x14ac:dyDescent="1.1499999999999999">
      <c r="B9" s="36"/>
      <c r="C9" s="36"/>
      <c r="D9" s="36"/>
      <c r="E9" s="36"/>
      <c r="F9" s="36"/>
      <c r="G9" s="29" t="str">
        <f t="shared" si="0"/>
        <v/>
      </c>
      <c r="H9" s="29" t="str">
        <f>IFERROR(VLOOKUP(G9,'Look Ups'!I$11:J$58,2,FALSE),"")</f>
        <v/>
      </c>
      <c r="I9" s="29" t="str">
        <f>IFERROR(VLOOKUP(G9,'Look Ups'!I$11:K$58,3,FALSE),"")</f>
        <v/>
      </c>
      <c r="J9" s="33" t="str">
        <f t="shared" si="1"/>
        <v/>
      </c>
      <c r="L9" s="160"/>
      <c r="M9" s="161"/>
      <c r="N9" s="161"/>
      <c r="O9" s="162"/>
      <c r="P9" s="25"/>
      <c r="Q9" s="25"/>
      <c r="R9" s="25"/>
      <c r="S9" s="25"/>
      <c r="T9" s="25"/>
      <c r="U9" s="25"/>
      <c r="V9" s="25"/>
      <c r="W9" s="25"/>
      <c r="X9" s="25"/>
    </row>
    <row r="10" spans="2:24" ht="22" customHeight="1" x14ac:dyDescent="1.1499999999999999">
      <c r="B10" s="36"/>
      <c r="C10" s="36"/>
      <c r="D10" s="36"/>
      <c r="E10" s="36"/>
      <c r="F10" s="36"/>
      <c r="G10" s="29" t="str">
        <f t="shared" si="0"/>
        <v/>
      </c>
      <c r="H10" s="29" t="str">
        <f>IFERROR(VLOOKUP(G10,'Look Ups'!I$11:J$58,2,FALSE),"")</f>
        <v/>
      </c>
      <c r="I10" s="29" t="str">
        <f>IFERROR(VLOOKUP(G10,'Look Ups'!I$11:K$58,3,FALSE),"")</f>
        <v/>
      </c>
      <c r="J10" s="33" t="str">
        <f t="shared" si="1"/>
        <v/>
      </c>
      <c r="L10" s="160"/>
      <c r="M10" s="161"/>
      <c r="N10" s="161"/>
      <c r="O10" s="162"/>
      <c r="P10" s="25"/>
      <c r="Q10" s="25"/>
      <c r="R10" s="25"/>
      <c r="S10" s="25"/>
      <c r="T10" s="25"/>
      <c r="U10" s="25"/>
      <c r="V10" s="25"/>
      <c r="W10" s="25"/>
      <c r="X10" s="25"/>
    </row>
    <row r="11" spans="2:24" ht="22" customHeight="1" x14ac:dyDescent="1.1499999999999999">
      <c r="B11" s="36"/>
      <c r="C11" s="36"/>
      <c r="D11" s="36"/>
      <c r="E11" s="36"/>
      <c r="F11" s="36"/>
      <c r="G11" s="29" t="str">
        <f t="shared" si="0"/>
        <v/>
      </c>
      <c r="H11" s="29" t="str">
        <f>IFERROR(VLOOKUP(G11,'Look Ups'!I$11:J$58,2,FALSE),"")</f>
        <v/>
      </c>
      <c r="I11" s="29" t="str">
        <f>IFERROR(VLOOKUP(G11,'Look Ups'!I$11:K$58,3,FALSE),"")</f>
        <v/>
      </c>
      <c r="J11" s="33" t="str">
        <f t="shared" si="1"/>
        <v/>
      </c>
      <c r="L11" s="160"/>
      <c r="M11" s="161"/>
      <c r="N11" s="161"/>
      <c r="O11" s="162"/>
      <c r="P11" s="25"/>
      <c r="Q11" s="25"/>
      <c r="R11" s="25"/>
      <c r="S11" s="25"/>
      <c r="T11" s="25"/>
      <c r="U11" s="25"/>
      <c r="V11" s="25"/>
      <c r="W11" s="25"/>
      <c r="X11" s="25"/>
    </row>
    <row r="12" spans="2:24" ht="22" customHeight="1" x14ac:dyDescent="1.1499999999999999">
      <c r="B12" s="36"/>
      <c r="C12" s="36"/>
      <c r="D12" s="36"/>
      <c r="E12" s="36"/>
      <c r="F12" s="36"/>
      <c r="G12" s="29" t="str">
        <f t="shared" si="0"/>
        <v/>
      </c>
      <c r="H12" s="29" t="str">
        <f>IFERROR(VLOOKUP(G12,'Look Ups'!I$11:J$58,2,FALSE),"")</f>
        <v/>
      </c>
      <c r="I12" s="29" t="str">
        <f>IFERROR(VLOOKUP(G12,'Look Ups'!I$11:K$58,3,FALSE),"")</f>
        <v/>
      </c>
      <c r="J12" s="33" t="str">
        <f t="shared" si="1"/>
        <v/>
      </c>
      <c r="L12" s="160"/>
      <c r="M12" s="161"/>
      <c r="N12" s="161"/>
      <c r="O12" s="162"/>
      <c r="P12" s="25"/>
      <c r="Q12" s="25"/>
      <c r="R12" s="25"/>
      <c r="S12" s="25"/>
      <c r="T12" s="25"/>
      <c r="U12" s="25"/>
      <c r="V12" s="25"/>
      <c r="W12" s="25"/>
      <c r="X12" s="25"/>
    </row>
    <row r="13" spans="2:24" ht="22" customHeight="1" x14ac:dyDescent="1.1499999999999999">
      <c r="B13" s="36"/>
      <c r="C13" s="36"/>
      <c r="D13" s="36"/>
      <c r="E13" s="36"/>
      <c r="F13" s="36"/>
      <c r="G13" s="29" t="str">
        <f t="shared" si="0"/>
        <v/>
      </c>
      <c r="H13" s="29" t="str">
        <f>IFERROR(VLOOKUP(G13,'Look Ups'!I$11:J$58,2,FALSE),"")</f>
        <v/>
      </c>
      <c r="I13" s="29" t="str">
        <f>IFERROR(VLOOKUP(G13,'Look Ups'!I$11:K$58,3,FALSE),"")</f>
        <v/>
      </c>
      <c r="J13" s="33" t="str">
        <f t="shared" si="1"/>
        <v/>
      </c>
      <c r="L13" s="160"/>
      <c r="M13" s="161"/>
      <c r="N13" s="161"/>
      <c r="O13" s="162"/>
      <c r="P13" s="25"/>
      <c r="Q13" s="25"/>
      <c r="R13" s="25"/>
      <c r="S13" s="25"/>
      <c r="T13" s="25"/>
      <c r="U13" s="25"/>
      <c r="V13" s="25"/>
      <c r="W13" s="25"/>
      <c r="X13" s="25"/>
    </row>
    <row r="14" spans="2:24" ht="22" customHeight="1" x14ac:dyDescent="1.1499999999999999">
      <c r="B14" s="36"/>
      <c r="C14" s="36"/>
      <c r="D14" s="36"/>
      <c r="E14" s="36"/>
      <c r="F14" s="36"/>
      <c r="G14" s="29" t="str">
        <f t="shared" si="0"/>
        <v/>
      </c>
      <c r="H14" s="29" t="str">
        <f>IFERROR(VLOOKUP(G14,'Look Ups'!I$11:J$58,2,FALSE),"")</f>
        <v/>
      </c>
      <c r="I14" s="29" t="str">
        <f>IFERROR(VLOOKUP(G14,'Look Ups'!I$11:K$58,3,FALSE),"")</f>
        <v/>
      </c>
      <c r="J14" s="33" t="str">
        <f t="shared" si="1"/>
        <v/>
      </c>
      <c r="L14" s="160"/>
      <c r="M14" s="161"/>
      <c r="N14" s="161"/>
      <c r="O14" s="162"/>
      <c r="P14" s="25"/>
      <c r="Q14" s="25"/>
      <c r="R14" s="25"/>
      <c r="S14" s="25"/>
      <c r="T14" s="25"/>
      <c r="U14" s="25"/>
      <c r="V14" s="25"/>
      <c r="W14" s="25"/>
      <c r="X14" s="25"/>
    </row>
    <row r="15" spans="2:24" ht="22" customHeight="1" x14ac:dyDescent="1.1499999999999999">
      <c r="B15" s="36"/>
      <c r="C15" s="36"/>
      <c r="D15" s="36"/>
      <c r="E15" s="36"/>
      <c r="F15" s="36"/>
      <c r="G15" s="29" t="str">
        <f t="shared" si="0"/>
        <v/>
      </c>
      <c r="H15" s="29" t="str">
        <f>IFERROR(VLOOKUP(G15,'Look Ups'!I$11:J$58,2,FALSE),"")</f>
        <v/>
      </c>
      <c r="I15" s="29" t="str">
        <f>IFERROR(VLOOKUP(G15,'Look Ups'!I$11:K$58,3,FALSE),"")</f>
        <v/>
      </c>
      <c r="J15" s="33" t="str">
        <f t="shared" si="1"/>
        <v/>
      </c>
      <c r="L15" s="160"/>
      <c r="M15" s="161"/>
      <c r="N15" s="161"/>
      <c r="O15" s="162"/>
      <c r="P15" s="25"/>
      <c r="Q15" s="25"/>
      <c r="R15" s="25"/>
      <c r="S15" s="25"/>
      <c r="T15" s="25"/>
      <c r="U15" s="25"/>
      <c r="V15" s="25"/>
      <c r="W15" s="25"/>
      <c r="X15" s="25"/>
    </row>
    <row r="16" spans="2:24" ht="22" customHeight="1" x14ac:dyDescent="1.1499999999999999">
      <c r="B16" s="36"/>
      <c r="C16" s="36"/>
      <c r="D16" s="36"/>
      <c r="E16" s="36"/>
      <c r="F16" s="36"/>
      <c r="G16" s="29" t="str">
        <f t="shared" si="0"/>
        <v/>
      </c>
      <c r="H16" s="29" t="str">
        <f>IFERROR(VLOOKUP(G16,'Look Ups'!I$11:J$58,2,FALSE),"")</f>
        <v/>
      </c>
      <c r="I16" s="29" t="str">
        <f>IFERROR(VLOOKUP(G16,'Look Ups'!I$11:K$58,3,FALSE),"")</f>
        <v/>
      </c>
      <c r="J16" s="33" t="str">
        <f t="shared" si="1"/>
        <v/>
      </c>
      <c r="L16" s="160"/>
      <c r="M16" s="161"/>
      <c r="N16" s="161"/>
      <c r="O16" s="162"/>
      <c r="P16" s="25"/>
      <c r="Q16" s="25"/>
      <c r="R16" s="25"/>
      <c r="S16" s="25"/>
      <c r="T16" s="25"/>
      <c r="U16" s="25"/>
      <c r="V16" s="25"/>
      <c r="W16" s="25"/>
      <c r="X16" s="25"/>
    </row>
    <row r="17" spans="2:24" ht="22" customHeight="1" x14ac:dyDescent="1.1499999999999999">
      <c r="B17" s="36"/>
      <c r="C17" s="36"/>
      <c r="D17" s="36"/>
      <c r="E17" s="36"/>
      <c r="F17" s="36"/>
      <c r="G17" s="29" t="str">
        <f t="shared" si="0"/>
        <v/>
      </c>
      <c r="H17" s="29" t="str">
        <f>IFERROR(VLOOKUP(G17,'Look Ups'!I$11:J$58,2,FALSE),"")</f>
        <v/>
      </c>
      <c r="I17" s="29" t="str">
        <f>IFERROR(VLOOKUP(G17,'Look Ups'!I$11:K$58,3,FALSE),"")</f>
        <v/>
      </c>
      <c r="J17" s="33" t="str">
        <f t="shared" si="1"/>
        <v/>
      </c>
      <c r="L17" s="160"/>
      <c r="M17" s="161"/>
      <c r="N17" s="161"/>
      <c r="O17" s="162"/>
      <c r="P17" s="25"/>
      <c r="Q17" s="25"/>
      <c r="R17" s="25"/>
      <c r="S17" s="25"/>
      <c r="T17" s="25"/>
      <c r="U17" s="25"/>
      <c r="V17" s="25"/>
      <c r="W17" s="25"/>
      <c r="X17" s="25"/>
    </row>
    <row r="18" spans="2:24" ht="22" customHeight="1" x14ac:dyDescent="1.1499999999999999">
      <c r="B18" s="36"/>
      <c r="C18" s="36"/>
      <c r="D18" s="36"/>
      <c r="E18" s="36"/>
      <c r="F18" s="36"/>
      <c r="G18" s="29" t="str">
        <f t="shared" si="0"/>
        <v/>
      </c>
      <c r="H18" s="29" t="str">
        <f>IFERROR(VLOOKUP(G18,'Look Ups'!I$11:J$58,2,FALSE),"")</f>
        <v/>
      </c>
      <c r="I18" s="29" t="str">
        <f>IFERROR(VLOOKUP(G18,'Look Ups'!I$11:K$58,3,FALSE),"")</f>
        <v/>
      </c>
      <c r="J18" s="33" t="str">
        <f t="shared" si="1"/>
        <v/>
      </c>
      <c r="L18" s="160"/>
      <c r="M18" s="161"/>
      <c r="N18" s="161"/>
      <c r="O18" s="162"/>
      <c r="P18" s="25"/>
      <c r="Q18" s="25"/>
      <c r="R18" s="25"/>
      <c r="S18" s="25"/>
      <c r="T18" s="25"/>
      <c r="U18" s="25"/>
      <c r="V18" s="25"/>
      <c r="W18" s="25"/>
      <c r="X18" s="25"/>
    </row>
    <row r="19" spans="2:24" ht="22" customHeight="1" x14ac:dyDescent="1.1499999999999999">
      <c r="B19" s="36"/>
      <c r="C19" s="36"/>
      <c r="D19" s="36"/>
      <c r="E19" s="36"/>
      <c r="F19" s="36"/>
      <c r="G19" s="29" t="str">
        <f t="shared" si="0"/>
        <v/>
      </c>
      <c r="H19" s="29" t="str">
        <f>IFERROR(VLOOKUP(G19,'Look Ups'!I$11:J$58,2,FALSE),"")</f>
        <v/>
      </c>
      <c r="I19" s="29" t="str">
        <f>IFERROR(VLOOKUP(G19,'Look Ups'!I$11:K$58,3,FALSE),"")</f>
        <v/>
      </c>
      <c r="J19" s="33" t="str">
        <f t="shared" si="1"/>
        <v/>
      </c>
      <c r="L19" s="160"/>
      <c r="M19" s="161"/>
      <c r="N19" s="161"/>
      <c r="O19" s="162"/>
      <c r="P19" s="25"/>
      <c r="Q19" s="25"/>
      <c r="R19" s="25"/>
      <c r="S19" s="25"/>
      <c r="T19" s="25"/>
      <c r="U19" s="25"/>
      <c r="V19" s="25"/>
      <c r="W19" s="25"/>
      <c r="X19" s="25"/>
    </row>
    <row r="20" spans="2:24" ht="22" customHeight="1" x14ac:dyDescent="1.1499999999999999">
      <c r="B20" s="36"/>
      <c r="C20" s="36"/>
      <c r="D20" s="36"/>
      <c r="E20" s="36"/>
      <c r="F20" s="36"/>
      <c r="G20" s="29" t="str">
        <f t="shared" si="0"/>
        <v/>
      </c>
      <c r="H20" s="29" t="str">
        <f>IFERROR(VLOOKUP(G20,'Look Ups'!I$11:J$58,2,FALSE),"")</f>
        <v/>
      </c>
      <c r="I20" s="29" t="str">
        <f>IFERROR(VLOOKUP(G20,'Look Ups'!I$11:K$58,3,FALSE),"")</f>
        <v/>
      </c>
      <c r="J20" s="33" t="str">
        <f t="shared" si="1"/>
        <v/>
      </c>
      <c r="L20" s="160"/>
      <c r="M20" s="161"/>
      <c r="N20" s="161"/>
      <c r="O20" s="162"/>
      <c r="P20" s="25"/>
      <c r="Q20" s="25"/>
      <c r="R20" s="25"/>
      <c r="S20" s="25"/>
      <c r="T20" s="25"/>
      <c r="U20" s="25"/>
      <c r="V20" s="25"/>
      <c r="W20" s="25"/>
      <c r="X20" s="25"/>
    </row>
    <row r="21" spans="2:24" ht="22" customHeight="1" x14ac:dyDescent="1.1499999999999999">
      <c r="B21" s="36"/>
      <c r="C21" s="36"/>
      <c r="D21" s="36"/>
      <c r="E21" s="36"/>
      <c r="F21" s="36"/>
      <c r="G21" s="29" t="str">
        <f t="shared" si="0"/>
        <v/>
      </c>
      <c r="H21" s="29" t="str">
        <f>IFERROR(VLOOKUP(G21,'Look Ups'!I$11:J$58,2,FALSE),"")</f>
        <v/>
      </c>
      <c r="I21" s="29" t="str">
        <f>IFERROR(VLOOKUP(G21,'Look Ups'!I$11:K$58,3,FALSE),"")</f>
        <v/>
      </c>
      <c r="J21" s="33" t="str">
        <f t="shared" si="1"/>
        <v/>
      </c>
      <c r="L21" s="160"/>
      <c r="M21" s="161"/>
      <c r="N21" s="161"/>
      <c r="O21" s="162"/>
      <c r="P21" s="25"/>
      <c r="Q21" s="25"/>
      <c r="R21" s="25"/>
      <c r="S21" s="25"/>
      <c r="T21" s="25"/>
      <c r="U21" s="25"/>
      <c r="V21" s="25"/>
      <c r="W21" s="25"/>
      <c r="X21" s="25"/>
    </row>
    <row r="22" spans="2:24" ht="22" customHeight="1" thickBot="1" x14ac:dyDescent="1.2">
      <c r="B22" s="36"/>
      <c r="C22" s="36"/>
      <c r="D22" s="36"/>
      <c r="E22" s="36"/>
      <c r="F22" s="36"/>
      <c r="G22" s="29" t="str">
        <f t="shared" si="0"/>
        <v/>
      </c>
      <c r="H22" s="29" t="str">
        <f>IFERROR(VLOOKUP(G22,'Look Ups'!I$11:J$58,2,FALSE),"")</f>
        <v/>
      </c>
      <c r="I22" s="29" t="str">
        <f>IFERROR(VLOOKUP(G22,'Look Ups'!I$11:K$58,3,FALSE),"")</f>
        <v/>
      </c>
      <c r="J22" s="33" t="str">
        <f t="shared" si="1"/>
        <v/>
      </c>
      <c r="L22" s="163"/>
      <c r="M22" s="164"/>
      <c r="N22" s="164"/>
      <c r="O22" s="165"/>
      <c r="P22" s="25"/>
      <c r="Q22" s="25"/>
      <c r="R22" s="25"/>
      <c r="S22" s="25"/>
      <c r="T22" s="25"/>
      <c r="U22" s="25"/>
      <c r="V22" s="25"/>
      <c r="W22" s="25"/>
      <c r="X22" s="25"/>
    </row>
    <row r="23" spans="2:24" ht="22" thickTop="1" x14ac:dyDescent="0.9"/>
  </sheetData>
  <sheetProtection algorithmName="SHA-512" hashValue="9n//qlo3qxo6wLDqYyNLSZ43YzO6ywt1Xnut4vVSWkj0FdjizKDXnF09o0Un7iuKr+KqGN6LHROLeFpYKHoG7Q==" saltValue="ZYs81ZZ+4VrJPBq3oIVW3Q==" spinCount="100000" sheet="1" objects="1" scenarios="1"/>
  <mergeCells count="2">
    <mergeCell ref="C2:J2"/>
    <mergeCell ref="L4:O22"/>
  </mergeCells>
  <conditionalFormatting sqref="J5:J22">
    <cfRule type="expression" dxfId="23" priority="1">
      <formula>$C$2="Please confirm your acceptance of the Terms of Use"</formula>
    </cfRule>
    <cfRule type="expression" dxfId="22" priority="3">
      <formula>$C$2="Please refer to Front Page"</formula>
    </cfRule>
  </conditionalFormatting>
  <dataValidations count="1">
    <dataValidation type="whole" allowBlank="1" showInputMessage="1" showErrorMessage="1" sqref="F5:F1048576" xr:uid="{E11D6EA9-8998-4B9C-BCAB-7454277050F8}">
      <formula1>1</formula1>
      <formula2>1000000000000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BC09248-E245-4E10-83A3-68E18C127CB9}">
          <x14:formula1>
            <xm:f>Lists!$A$1:$A$2</xm:f>
          </x14:formula1>
          <xm:sqref>B5:B1048576</xm:sqref>
        </x14:dataValidation>
        <x14:dataValidation type="list" allowBlank="1" showInputMessage="1" showErrorMessage="1" xr:uid="{4C198B14-FA62-4999-AB67-38D6B894A7EA}">
          <x14:formula1>
            <xm:f>Lists!$B$1:$B$3</xm:f>
          </x14:formula1>
          <xm:sqref>C5:C1048576</xm:sqref>
        </x14:dataValidation>
        <x14:dataValidation type="list" allowBlank="1" showInputMessage="1" showErrorMessage="1" xr:uid="{CB84065B-666A-4529-BFE4-AC3CB38187C2}">
          <x14:formula1>
            <xm:f>Lists!$C$1:$C$4</xm:f>
          </x14:formula1>
          <xm:sqref>D5:D1048576</xm:sqref>
        </x14:dataValidation>
        <x14:dataValidation type="list" allowBlank="1" showInputMessage="1" showErrorMessage="1" xr:uid="{88E6625C-0B45-4D94-8BA9-D56DA2906679}">
          <x14:formula1>
            <xm:f>Lists!$D$1:$D$2</xm:f>
          </x14:formula1>
          <xm:sqref>E5:E1048576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0D54-C5DE-424E-BBD2-FBD5C864C054}">
  <sheetPr codeName="Sheet7">
    <tabColor theme="9" tint="0.39997558519241921"/>
  </sheetPr>
  <dimension ref="A1:L23"/>
  <sheetViews>
    <sheetView showGridLines="0" showRowColHeaders="0" workbookViewId="0">
      <selection activeCell="C4" sqref="C4"/>
    </sheetView>
  </sheetViews>
  <sheetFormatPr defaultColWidth="0" defaultRowHeight="14.5" zeroHeight="1" x14ac:dyDescent="0.35"/>
  <cols>
    <col min="1" max="1" width="3.453125" style="10" customWidth="1"/>
    <col min="2" max="2" width="14.453125" style="10" customWidth="1"/>
    <col min="3" max="3" width="19.453125" style="10" customWidth="1"/>
    <col min="4" max="4" width="9.81640625" style="10" hidden="1" customWidth="1"/>
    <col min="5" max="5" width="53.453125" style="10" customWidth="1"/>
    <col min="6" max="6" width="3.453125" style="10" customWidth="1"/>
    <col min="7" max="11" width="8.7265625" style="10" customWidth="1"/>
    <col min="12" max="12" width="0" style="10" hidden="1" customWidth="1"/>
    <col min="13" max="16384" width="8.7265625" style="10" hidden="1"/>
  </cols>
  <sheetData>
    <row r="1" spans="2:12" ht="14.5" customHeight="1" x14ac:dyDescent="0.35"/>
    <row r="2" spans="2:12" ht="21.5" x14ac:dyDescent="0.9">
      <c r="B2" s="24" t="s">
        <v>80</v>
      </c>
      <c r="C2" s="147" t="str">
        <f>IF(Lists!W6="LOCKED","Please confirm your acceptance of the Terms of Use",SUM(E5:E22))</f>
        <v>Please confirm your acceptance of the Terms of Use</v>
      </c>
      <c r="D2" s="147"/>
      <c r="E2" s="147"/>
    </row>
    <row r="3" spans="2:12" ht="14.5" customHeight="1" thickBot="1" x14ac:dyDescent="0.95">
      <c r="B3" s="13"/>
      <c r="C3" s="23"/>
      <c r="D3" s="13"/>
      <c r="E3" s="13"/>
    </row>
    <row r="4" spans="2:12" ht="22" customHeight="1" thickTop="1" x14ac:dyDescent="0.35">
      <c r="B4" s="26" t="s">
        <v>0</v>
      </c>
      <c r="C4" s="35" t="s">
        <v>15</v>
      </c>
      <c r="D4" s="29" t="s">
        <v>73</v>
      </c>
      <c r="E4" s="27" t="s">
        <v>13</v>
      </c>
      <c r="G4" s="148" t="s">
        <v>217</v>
      </c>
      <c r="H4" s="158"/>
      <c r="I4" s="158"/>
      <c r="J4" s="159"/>
    </row>
    <row r="5" spans="2:12" ht="22" customHeight="1" x14ac:dyDescent="1.1499999999999999">
      <c r="B5" s="28"/>
      <c r="C5" s="36"/>
      <c r="D5" s="29" t="str">
        <f>IFERROR(VLOOKUP(B5,'Look Ups'!S$11:T$14,2,FALSE),"")</f>
        <v/>
      </c>
      <c r="E5" s="37" t="str">
        <f>IFERROR(IF(C5&gt;20,D5+((C5-20)*9),D5),"")</f>
        <v/>
      </c>
      <c r="G5" s="160"/>
      <c r="H5" s="161"/>
      <c r="I5" s="161"/>
      <c r="J5" s="162"/>
      <c r="L5" s="25"/>
    </row>
    <row r="6" spans="2:12" ht="22" customHeight="1" x14ac:dyDescent="1.1499999999999999">
      <c r="B6" s="28"/>
      <c r="C6" s="36"/>
      <c r="D6" s="29" t="str">
        <f>IFERROR(VLOOKUP(B6,'Look Ups'!S$11:T$14,2,FALSE),"")</f>
        <v/>
      </c>
      <c r="E6" s="37" t="str">
        <f t="shared" ref="E6:E22" si="0">IFERROR(IF(C6&gt;20,D6+((C6-20)*9),D6),"")</f>
        <v/>
      </c>
      <c r="G6" s="160"/>
      <c r="H6" s="161"/>
      <c r="I6" s="161"/>
      <c r="J6" s="162"/>
      <c r="L6" s="25"/>
    </row>
    <row r="7" spans="2:12" ht="22" customHeight="1" x14ac:dyDescent="1.1499999999999999">
      <c r="B7" s="28"/>
      <c r="C7" s="36"/>
      <c r="D7" s="29" t="str">
        <f>IFERROR(VLOOKUP(B7,'Look Ups'!S$11:T$14,2,FALSE),"")</f>
        <v/>
      </c>
      <c r="E7" s="37" t="str">
        <f t="shared" si="0"/>
        <v/>
      </c>
      <c r="G7" s="160"/>
      <c r="H7" s="161"/>
      <c r="I7" s="161"/>
      <c r="J7" s="162"/>
      <c r="L7" s="25"/>
    </row>
    <row r="8" spans="2:12" ht="22" customHeight="1" x14ac:dyDescent="1.1499999999999999">
      <c r="B8" s="28"/>
      <c r="C8" s="36"/>
      <c r="D8" s="29" t="str">
        <f>IFERROR(VLOOKUP(B8,'Look Ups'!S$11:T$14,2,FALSE),"")</f>
        <v/>
      </c>
      <c r="E8" s="37" t="str">
        <f t="shared" si="0"/>
        <v/>
      </c>
      <c r="G8" s="160"/>
      <c r="H8" s="161"/>
      <c r="I8" s="161"/>
      <c r="J8" s="162"/>
      <c r="L8" s="25"/>
    </row>
    <row r="9" spans="2:12" ht="22" customHeight="1" x14ac:dyDescent="1.1499999999999999">
      <c r="B9" s="28"/>
      <c r="C9" s="36"/>
      <c r="D9" s="29" t="str">
        <f>IFERROR(VLOOKUP(B9,'Look Ups'!S$11:T$14,2,FALSE),"")</f>
        <v/>
      </c>
      <c r="E9" s="37" t="str">
        <f t="shared" si="0"/>
        <v/>
      </c>
      <c r="G9" s="160"/>
      <c r="H9" s="161"/>
      <c r="I9" s="161"/>
      <c r="J9" s="162"/>
      <c r="L9" s="25"/>
    </row>
    <row r="10" spans="2:12" ht="22" customHeight="1" x14ac:dyDescent="1.1499999999999999">
      <c r="B10" s="28"/>
      <c r="C10" s="36"/>
      <c r="D10" s="29" t="str">
        <f>IFERROR(VLOOKUP(B10,'Look Ups'!S$11:T$14,2,FALSE),"")</f>
        <v/>
      </c>
      <c r="E10" s="37" t="str">
        <f t="shared" si="0"/>
        <v/>
      </c>
      <c r="G10" s="160"/>
      <c r="H10" s="161"/>
      <c r="I10" s="161"/>
      <c r="J10" s="162"/>
      <c r="L10" s="25"/>
    </row>
    <row r="11" spans="2:12" ht="22" customHeight="1" x14ac:dyDescent="1.1499999999999999">
      <c r="B11" s="28"/>
      <c r="C11" s="36"/>
      <c r="D11" s="29" t="str">
        <f>IFERROR(VLOOKUP(B11,'Look Ups'!S$11:T$14,2,FALSE),"")</f>
        <v/>
      </c>
      <c r="E11" s="37" t="str">
        <f t="shared" si="0"/>
        <v/>
      </c>
      <c r="G11" s="160"/>
      <c r="H11" s="161"/>
      <c r="I11" s="161"/>
      <c r="J11" s="162"/>
      <c r="L11" s="25"/>
    </row>
    <row r="12" spans="2:12" ht="22" customHeight="1" x14ac:dyDescent="1.1499999999999999">
      <c r="B12" s="28"/>
      <c r="C12" s="36"/>
      <c r="D12" s="29" t="str">
        <f>IFERROR(VLOOKUP(B12,'Look Ups'!S$11:T$14,2,FALSE),"")</f>
        <v/>
      </c>
      <c r="E12" s="37" t="str">
        <f t="shared" si="0"/>
        <v/>
      </c>
      <c r="G12" s="160"/>
      <c r="H12" s="161"/>
      <c r="I12" s="161"/>
      <c r="J12" s="162"/>
      <c r="L12" s="25"/>
    </row>
    <row r="13" spans="2:12" ht="22" customHeight="1" x14ac:dyDescent="1.1499999999999999">
      <c r="B13" s="28"/>
      <c r="C13" s="36"/>
      <c r="D13" s="29" t="str">
        <f>IFERROR(VLOOKUP(B13,'Look Ups'!S$11:T$14,2,FALSE),"")</f>
        <v/>
      </c>
      <c r="E13" s="37" t="str">
        <f t="shared" si="0"/>
        <v/>
      </c>
      <c r="G13" s="160"/>
      <c r="H13" s="161"/>
      <c r="I13" s="161"/>
      <c r="J13" s="162"/>
      <c r="L13" s="25"/>
    </row>
    <row r="14" spans="2:12" ht="22" customHeight="1" x14ac:dyDescent="1.1499999999999999">
      <c r="B14" s="28"/>
      <c r="C14" s="36"/>
      <c r="D14" s="29" t="str">
        <f>IFERROR(VLOOKUP(B14,'Look Ups'!S$11:T$14,2,FALSE),"")</f>
        <v/>
      </c>
      <c r="E14" s="37" t="str">
        <f t="shared" si="0"/>
        <v/>
      </c>
      <c r="G14" s="160"/>
      <c r="H14" s="161"/>
      <c r="I14" s="161"/>
      <c r="J14" s="162"/>
      <c r="L14" s="25"/>
    </row>
    <row r="15" spans="2:12" ht="22" customHeight="1" x14ac:dyDescent="1.1499999999999999">
      <c r="B15" s="28"/>
      <c r="C15" s="36"/>
      <c r="D15" s="29" t="str">
        <f>IFERROR(VLOOKUP(B15,'Look Ups'!S$11:T$14,2,FALSE),"")</f>
        <v/>
      </c>
      <c r="E15" s="37" t="str">
        <f t="shared" si="0"/>
        <v/>
      </c>
      <c r="G15" s="160"/>
      <c r="H15" s="161"/>
      <c r="I15" s="161"/>
      <c r="J15" s="162"/>
      <c r="L15" s="25"/>
    </row>
    <row r="16" spans="2:12" ht="22" customHeight="1" x14ac:dyDescent="1.1499999999999999">
      <c r="B16" s="28"/>
      <c r="C16" s="36"/>
      <c r="D16" s="29" t="str">
        <f>IFERROR(VLOOKUP(B16,'Look Ups'!S$11:T$14,2,FALSE),"")</f>
        <v/>
      </c>
      <c r="E16" s="37" t="str">
        <f t="shared" si="0"/>
        <v/>
      </c>
      <c r="G16" s="160"/>
      <c r="H16" s="161"/>
      <c r="I16" s="161"/>
      <c r="J16" s="162"/>
      <c r="L16" s="25"/>
    </row>
    <row r="17" spans="2:12" ht="22" customHeight="1" x14ac:dyDescent="1.1499999999999999">
      <c r="B17" s="28"/>
      <c r="C17" s="36"/>
      <c r="D17" s="29" t="str">
        <f>IFERROR(VLOOKUP(B17,'Look Ups'!S$11:T$14,2,FALSE),"")</f>
        <v/>
      </c>
      <c r="E17" s="37" t="str">
        <f t="shared" si="0"/>
        <v/>
      </c>
      <c r="G17" s="160"/>
      <c r="H17" s="161"/>
      <c r="I17" s="161"/>
      <c r="J17" s="162"/>
      <c r="L17" s="25"/>
    </row>
    <row r="18" spans="2:12" ht="22" customHeight="1" x14ac:dyDescent="1.1499999999999999">
      <c r="B18" s="28"/>
      <c r="C18" s="36"/>
      <c r="D18" s="29" t="str">
        <f>IFERROR(VLOOKUP(B18,'Look Ups'!S$11:T$14,2,FALSE),"")</f>
        <v/>
      </c>
      <c r="E18" s="37" t="str">
        <f t="shared" si="0"/>
        <v/>
      </c>
      <c r="G18" s="160"/>
      <c r="H18" s="161"/>
      <c r="I18" s="161"/>
      <c r="J18" s="162"/>
      <c r="L18" s="25"/>
    </row>
    <row r="19" spans="2:12" ht="22" customHeight="1" x14ac:dyDescent="1.1499999999999999">
      <c r="B19" s="28"/>
      <c r="C19" s="36"/>
      <c r="D19" s="29" t="str">
        <f>IFERROR(VLOOKUP(B19,'Look Ups'!S$11:T$14,2,FALSE),"")</f>
        <v/>
      </c>
      <c r="E19" s="37" t="str">
        <f t="shared" si="0"/>
        <v/>
      </c>
      <c r="G19" s="160"/>
      <c r="H19" s="161"/>
      <c r="I19" s="161"/>
      <c r="J19" s="162"/>
      <c r="L19" s="25"/>
    </row>
    <row r="20" spans="2:12" ht="22" customHeight="1" x14ac:dyDescent="1.1499999999999999">
      <c r="B20" s="28"/>
      <c r="C20" s="36"/>
      <c r="D20" s="29" t="str">
        <f>IFERROR(VLOOKUP(B20,'Look Ups'!S$11:T$14,2,FALSE),"")</f>
        <v/>
      </c>
      <c r="E20" s="37" t="str">
        <f t="shared" si="0"/>
        <v/>
      </c>
      <c r="G20" s="160"/>
      <c r="H20" s="161"/>
      <c r="I20" s="161"/>
      <c r="J20" s="162"/>
      <c r="L20" s="25"/>
    </row>
    <row r="21" spans="2:12" ht="22" customHeight="1" x14ac:dyDescent="1.1499999999999999">
      <c r="B21" s="28"/>
      <c r="C21" s="36"/>
      <c r="D21" s="29" t="str">
        <f>IFERROR(VLOOKUP(B21,'Look Ups'!S$11:T$14,2,FALSE),"")</f>
        <v/>
      </c>
      <c r="E21" s="37" t="str">
        <f t="shared" si="0"/>
        <v/>
      </c>
      <c r="G21" s="160"/>
      <c r="H21" s="161"/>
      <c r="I21" s="161"/>
      <c r="J21" s="162"/>
      <c r="L21" s="25"/>
    </row>
    <row r="22" spans="2:12" ht="22" customHeight="1" thickBot="1" x14ac:dyDescent="1.2">
      <c r="B22" s="28"/>
      <c r="C22" s="36"/>
      <c r="D22" s="29" t="str">
        <f>IFERROR(VLOOKUP(B22,'Look Ups'!S$11:T$14,2,FALSE),"")</f>
        <v/>
      </c>
      <c r="E22" s="37" t="str">
        <f t="shared" si="0"/>
        <v/>
      </c>
      <c r="G22" s="163"/>
      <c r="H22" s="164"/>
      <c r="I22" s="164"/>
      <c r="J22" s="165"/>
      <c r="L22" s="25"/>
    </row>
    <row r="23" spans="2:12" ht="15" thickTop="1" x14ac:dyDescent="0.35"/>
  </sheetData>
  <sheetProtection algorithmName="SHA-512" hashValue="74uUfIOmCBHRuGeh6D+G1SIMx4T6TMQuvNHnJOJlAAtlZSmPCo7ab7NhxfakiU/T0ISG9y5Fvb9cPkTgw7Wzcw==" saltValue="+fy6/hQkqBqAjGtjMZrF8Q==" spinCount="100000" sheet="1" objects="1" scenarios="1"/>
  <mergeCells count="2">
    <mergeCell ref="G4:J22"/>
    <mergeCell ref="C2:E2"/>
  </mergeCells>
  <conditionalFormatting sqref="E5:E22">
    <cfRule type="expression" dxfId="21" priority="1">
      <formula>$C$2="Please confirm your acceptance of the Terms of Use"</formula>
    </cfRule>
    <cfRule type="expression" dxfId="20" priority="3">
      <formula>$C$2="Please refer to Front Page"</formula>
    </cfRule>
  </conditionalFormatting>
  <dataValidations count="1">
    <dataValidation type="whole" allowBlank="1" showInputMessage="1" showErrorMessage="1" sqref="C5:C1048576" xr:uid="{FC045284-1581-48B4-9BC9-ADAF164A857B}">
      <formula1>1</formula1>
      <formula2>10000000000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EC4544D-5D6C-4DA6-BEA8-DC51F1D12C55}">
          <x14:formula1>
            <xm:f>Lists!$C$1:$C$4</xm:f>
          </x14:formula1>
          <xm:sqref>B5:B1048576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4BDB2-8141-4802-BA70-28BEA5B14DBA}">
  <sheetPr codeName="Sheet8">
    <tabColor theme="9" tint="0.39997558519241921"/>
  </sheetPr>
  <dimension ref="A1:K23"/>
  <sheetViews>
    <sheetView showGridLines="0" showRowColHeaders="0" workbookViewId="0">
      <selection activeCell="B5" sqref="B5"/>
    </sheetView>
  </sheetViews>
  <sheetFormatPr defaultColWidth="0" defaultRowHeight="14.5" zeroHeight="1" x14ac:dyDescent="0.35"/>
  <cols>
    <col min="1" max="1" width="3.453125" style="10" customWidth="1"/>
    <col min="2" max="2" width="23.453125" style="10" customWidth="1"/>
    <col min="3" max="3" width="18.54296875" style="10" customWidth="1"/>
    <col min="4" max="4" width="13.453125" style="10" hidden="1" customWidth="1"/>
    <col min="5" max="5" width="61.1796875" style="10" customWidth="1"/>
    <col min="6" max="6" width="3.453125" style="10" customWidth="1"/>
    <col min="7" max="11" width="8.7265625" style="10" customWidth="1"/>
    <col min="12" max="16384" width="8.7265625" style="10" hidden="1"/>
  </cols>
  <sheetData>
    <row r="1" spans="2:10" ht="14.5" customHeight="1" x14ac:dyDescent="0.35"/>
    <row r="2" spans="2:10" ht="21.5" x14ac:dyDescent="0.9">
      <c r="B2" s="22" t="s">
        <v>80</v>
      </c>
      <c r="C2" s="147" t="str">
        <f>IF(Lists!W6="LOCKED","Please confirm your acceptance of the Terms of Use",SUM(E4:E22))</f>
        <v>Please confirm your acceptance of the Terms of Use</v>
      </c>
      <c r="D2" s="147"/>
      <c r="E2" s="147"/>
    </row>
    <row r="3" spans="2:10" ht="14.5" customHeight="1" thickBot="1" x14ac:dyDescent="0.95">
      <c r="B3" s="13"/>
      <c r="C3" s="23"/>
      <c r="D3" s="13"/>
      <c r="E3" s="13"/>
    </row>
    <row r="4" spans="2:10" ht="22" customHeight="1" thickTop="1" x14ac:dyDescent="0.35">
      <c r="B4" s="26" t="s">
        <v>210</v>
      </c>
      <c r="C4" s="26" t="s">
        <v>213</v>
      </c>
      <c r="D4" s="29" t="s">
        <v>7</v>
      </c>
      <c r="E4" s="27" t="s">
        <v>13</v>
      </c>
      <c r="G4" s="148" t="s">
        <v>192</v>
      </c>
      <c r="H4" s="158"/>
      <c r="I4" s="158"/>
      <c r="J4" s="159"/>
    </row>
    <row r="5" spans="2:10" ht="22" customHeight="1" x14ac:dyDescent="0.35">
      <c r="B5" s="28"/>
      <c r="C5" s="28"/>
      <c r="D5" s="29" t="str">
        <f>B5&amp;C5</f>
        <v/>
      </c>
      <c r="E5" s="37" t="str">
        <f>IFERROR(VLOOKUP(D5,'Look Ups'!O$11:P$14,2,FALSE),"")</f>
        <v/>
      </c>
      <c r="G5" s="160"/>
      <c r="H5" s="161"/>
      <c r="I5" s="161"/>
      <c r="J5" s="162"/>
    </row>
    <row r="6" spans="2:10" ht="22" customHeight="1" x14ac:dyDescent="0.35">
      <c r="B6" s="28"/>
      <c r="C6" s="28"/>
      <c r="D6" s="29" t="str">
        <f t="shared" ref="D6:D22" si="0">B6&amp;C6</f>
        <v/>
      </c>
      <c r="E6" s="37" t="str">
        <f>IFERROR(VLOOKUP(D6,'Look Ups'!O$11:P$14,2,FALSE),"")</f>
        <v/>
      </c>
      <c r="G6" s="160"/>
      <c r="H6" s="161"/>
      <c r="I6" s="161"/>
      <c r="J6" s="162"/>
    </row>
    <row r="7" spans="2:10" ht="22" customHeight="1" x14ac:dyDescent="0.35">
      <c r="B7" s="28"/>
      <c r="C7" s="28"/>
      <c r="D7" s="29" t="str">
        <f t="shared" si="0"/>
        <v/>
      </c>
      <c r="E7" s="37" t="str">
        <f>IFERROR(VLOOKUP(D7,'Look Ups'!O$11:P$14,2,FALSE),"")</f>
        <v/>
      </c>
      <c r="G7" s="160"/>
      <c r="H7" s="161"/>
      <c r="I7" s="161"/>
      <c r="J7" s="162"/>
    </row>
    <row r="8" spans="2:10" ht="22" customHeight="1" x14ac:dyDescent="0.35">
      <c r="B8" s="28"/>
      <c r="C8" s="28"/>
      <c r="D8" s="29" t="str">
        <f t="shared" si="0"/>
        <v/>
      </c>
      <c r="E8" s="37" t="str">
        <f>IFERROR(VLOOKUP(D8,'Look Ups'!O$11:P$14,2,FALSE),"")</f>
        <v/>
      </c>
      <c r="G8" s="160"/>
      <c r="H8" s="161"/>
      <c r="I8" s="161"/>
      <c r="J8" s="162"/>
    </row>
    <row r="9" spans="2:10" ht="22" customHeight="1" x14ac:dyDescent="0.35">
      <c r="B9" s="28"/>
      <c r="C9" s="28"/>
      <c r="D9" s="29" t="str">
        <f t="shared" si="0"/>
        <v/>
      </c>
      <c r="E9" s="37" t="str">
        <f>IFERROR(VLOOKUP(D9,'Look Ups'!O$11:P$14,2,FALSE),"")</f>
        <v/>
      </c>
      <c r="G9" s="160"/>
      <c r="H9" s="161"/>
      <c r="I9" s="161"/>
      <c r="J9" s="162"/>
    </row>
    <row r="10" spans="2:10" ht="22" customHeight="1" x14ac:dyDescent="0.35">
      <c r="B10" s="28"/>
      <c r="C10" s="28"/>
      <c r="D10" s="29" t="str">
        <f t="shared" si="0"/>
        <v/>
      </c>
      <c r="E10" s="37" t="str">
        <f>IFERROR(VLOOKUP(D10,'Look Ups'!O$11:P$14,2,FALSE),"")</f>
        <v/>
      </c>
      <c r="G10" s="160"/>
      <c r="H10" s="161"/>
      <c r="I10" s="161"/>
      <c r="J10" s="162"/>
    </row>
    <row r="11" spans="2:10" ht="22" customHeight="1" x14ac:dyDescent="0.35">
      <c r="B11" s="28"/>
      <c r="C11" s="28"/>
      <c r="D11" s="29" t="str">
        <f t="shared" si="0"/>
        <v/>
      </c>
      <c r="E11" s="37" t="str">
        <f>IFERROR(VLOOKUP(D11,'Look Ups'!O$11:P$14,2,FALSE),"")</f>
        <v/>
      </c>
      <c r="G11" s="160"/>
      <c r="H11" s="161"/>
      <c r="I11" s="161"/>
      <c r="J11" s="162"/>
    </row>
    <row r="12" spans="2:10" ht="22" customHeight="1" x14ac:dyDescent="0.35">
      <c r="B12" s="28"/>
      <c r="C12" s="28"/>
      <c r="D12" s="29" t="str">
        <f t="shared" si="0"/>
        <v/>
      </c>
      <c r="E12" s="37" t="str">
        <f>IFERROR(VLOOKUP(D12,'Look Ups'!O$11:P$14,2,FALSE),"")</f>
        <v/>
      </c>
      <c r="G12" s="160"/>
      <c r="H12" s="161"/>
      <c r="I12" s="161"/>
      <c r="J12" s="162"/>
    </row>
    <row r="13" spans="2:10" ht="22" customHeight="1" x14ac:dyDescent="0.35">
      <c r="B13" s="28"/>
      <c r="C13" s="28"/>
      <c r="D13" s="29" t="str">
        <f t="shared" si="0"/>
        <v/>
      </c>
      <c r="E13" s="37" t="str">
        <f>IFERROR(VLOOKUP(D13,'Look Ups'!O$11:P$14,2,FALSE),"")</f>
        <v/>
      </c>
      <c r="G13" s="160"/>
      <c r="H13" s="161"/>
      <c r="I13" s="161"/>
      <c r="J13" s="162"/>
    </row>
    <row r="14" spans="2:10" ht="22" customHeight="1" x14ac:dyDescent="0.35">
      <c r="B14" s="28"/>
      <c r="C14" s="28"/>
      <c r="D14" s="29" t="str">
        <f t="shared" si="0"/>
        <v/>
      </c>
      <c r="E14" s="37" t="str">
        <f>IFERROR(VLOOKUP(D14,'Look Ups'!O$11:P$14,2,FALSE),"")</f>
        <v/>
      </c>
      <c r="G14" s="160"/>
      <c r="H14" s="161"/>
      <c r="I14" s="161"/>
      <c r="J14" s="162"/>
    </row>
    <row r="15" spans="2:10" ht="22" customHeight="1" x14ac:dyDescent="0.35">
      <c r="B15" s="28"/>
      <c r="C15" s="28"/>
      <c r="D15" s="29" t="str">
        <f t="shared" si="0"/>
        <v/>
      </c>
      <c r="E15" s="37" t="str">
        <f>IFERROR(VLOOKUP(D15,'Look Ups'!O$11:P$14,2,FALSE),"")</f>
        <v/>
      </c>
      <c r="G15" s="160"/>
      <c r="H15" s="161"/>
      <c r="I15" s="161"/>
      <c r="J15" s="162"/>
    </row>
    <row r="16" spans="2:10" ht="22" customHeight="1" x14ac:dyDescent="0.35">
      <c r="B16" s="28"/>
      <c r="C16" s="28"/>
      <c r="D16" s="29" t="str">
        <f t="shared" si="0"/>
        <v/>
      </c>
      <c r="E16" s="37" t="str">
        <f>IFERROR(VLOOKUP(D16,'Look Ups'!O$11:P$14,2,FALSE),"")</f>
        <v/>
      </c>
      <c r="G16" s="160"/>
      <c r="H16" s="161"/>
      <c r="I16" s="161"/>
      <c r="J16" s="162"/>
    </row>
    <row r="17" spans="2:10" ht="22" customHeight="1" x14ac:dyDescent="0.35">
      <c r="B17" s="28"/>
      <c r="C17" s="28"/>
      <c r="D17" s="29" t="str">
        <f t="shared" si="0"/>
        <v/>
      </c>
      <c r="E17" s="37" t="str">
        <f>IFERROR(VLOOKUP(D17,'Look Ups'!O$11:P$14,2,FALSE),"")</f>
        <v/>
      </c>
      <c r="G17" s="160"/>
      <c r="H17" s="161"/>
      <c r="I17" s="161"/>
      <c r="J17" s="162"/>
    </row>
    <row r="18" spans="2:10" ht="22" customHeight="1" x14ac:dyDescent="0.35">
      <c r="B18" s="28"/>
      <c r="C18" s="28"/>
      <c r="D18" s="29" t="str">
        <f t="shared" si="0"/>
        <v/>
      </c>
      <c r="E18" s="37" t="str">
        <f>IFERROR(VLOOKUP(D18,'Look Ups'!O$11:P$14,2,FALSE),"")</f>
        <v/>
      </c>
      <c r="G18" s="160"/>
      <c r="H18" s="161"/>
      <c r="I18" s="161"/>
      <c r="J18" s="162"/>
    </row>
    <row r="19" spans="2:10" ht="22" customHeight="1" x14ac:dyDescent="0.35">
      <c r="B19" s="28"/>
      <c r="C19" s="28"/>
      <c r="D19" s="29" t="str">
        <f t="shared" si="0"/>
        <v/>
      </c>
      <c r="E19" s="37" t="str">
        <f>IFERROR(VLOOKUP(D19,'Look Ups'!O$11:P$14,2,FALSE),"")</f>
        <v/>
      </c>
      <c r="G19" s="160"/>
      <c r="H19" s="161"/>
      <c r="I19" s="161"/>
      <c r="J19" s="162"/>
    </row>
    <row r="20" spans="2:10" ht="22" customHeight="1" x14ac:dyDescent="0.35">
      <c r="B20" s="28"/>
      <c r="C20" s="28"/>
      <c r="D20" s="29" t="str">
        <f t="shared" si="0"/>
        <v/>
      </c>
      <c r="E20" s="37" t="str">
        <f>IFERROR(VLOOKUP(D20,'Look Ups'!O$11:P$14,2,FALSE),"")</f>
        <v/>
      </c>
      <c r="G20" s="160"/>
      <c r="H20" s="161"/>
      <c r="I20" s="161"/>
      <c r="J20" s="162"/>
    </row>
    <row r="21" spans="2:10" ht="22" customHeight="1" x14ac:dyDescent="0.35">
      <c r="B21" s="28"/>
      <c r="C21" s="28"/>
      <c r="D21" s="29" t="str">
        <f t="shared" si="0"/>
        <v/>
      </c>
      <c r="E21" s="37" t="str">
        <f>IFERROR(VLOOKUP(D21,'Look Ups'!O$11:P$14,2,FALSE),"")</f>
        <v/>
      </c>
      <c r="G21" s="160"/>
      <c r="H21" s="161"/>
      <c r="I21" s="161"/>
      <c r="J21" s="162"/>
    </row>
    <row r="22" spans="2:10" ht="22" customHeight="1" thickBot="1" x14ac:dyDescent="0.4">
      <c r="B22" s="28"/>
      <c r="C22" s="28"/>
      <c r="D22" s="29" t="str">
        <f t="shared" si="0"/>
        <v/>
      </c>
      <c r="E22" s="37" t="str">
        <f>IFERROR(VLOOKUP(D22,'Look Ups'!O$11:P$14,2,FALSE),"")</f>
        <v/>
      </c>
      <c r="G22" s="163"/>
      <c r="H22" s="164"/>
      <c r="I22" s="164"/>
      <c r="J22" s="165"/>
    </row>
    <row r="23" spans="2:10" ht="15" thickTop="1" x14ac:dyDescent="0.35"/>
  </sheetData>
  <sheetProtection algorithmName="SHA-512" hashValue="dNZ3XSzDoXMmTyk4aEx73ZDhwGtrbN3+FBAV3vi/dw4xDhDXxMmZnsRaj37BRpgL1PTo+KakWKDzuCNwJxLMEQ==" saltValue="irhHYzWI1uO2kj+y61SRig==" spinCount="100000" sheet="1" objects="1" scenarios="1"/>
  <mergeCells count="2">
    <mergeCell ref="C2:E2"/>
    <mergeCell ref="G4:J22"/>
  </mergeCells>
  <conditionalFormatting sqref="E5:E22">
    <cfRule type="expression" dxfId="19" priority="1">
      <formula>$C$2="Please confirm your acceptance of the Terms of Use"</formula>
    </cfRule>
    <cfRule type="expression" dxfId="18" priority="2">
      <formula>$C$2="Please refer to Front Page"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BC295EE-201A-418D-8D5E-7D7D77CDA1EF}">
          <x14:formula1>
            <xm:f>Lists!$A$1:$A$2</xm:f>
          </x14:formula1>
          <xm:sqref>B5:B1048576</xm:sqref>
        </x14:dataValidation>
        <x14:dataValidation type="list" allowBlank="1" showInputMessage="1" showErrorMessage="1" xr:uid="{6A12A6E9-6404-4437-B89D-A99086A78CEF}">
          <x14:formula1>
            <xm:f>Lists!$D$1:$D$2</xm:f>
          </x14:formula1>
          <xm:sqref>C5:C1048576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5448-22E3-40B6-8129-1FEC404157AE}">
  <sheetPr codeName="Sheet9">
    <tabColor theme="9" tint="0.39997558519241921"/>
  </sheetPr>
  <dimension ref="A1:M23"/>
  <sheetViews>
    <sheetView showGridLines="0" showRowColHeaders="0" workbookViewId="0">
      <selection activeCell="G14" sqref="G14"/>
    </sheetView>
  </sheetViews>
  <sheetFormatPr defaultColWidth="0" defaultRowHeight="21.5" zeroHeight="1" x14ac:dyDescent="0.9"/>
  <cols>
    <col min="1" max="1" width="3.453125" style="13" customWidth="1"/>
    <col min="2" max="2" width="19.81640625" style="13" customWidth="1"/>
    <col min="3" max="3" width="14.81640625" style="13" customWidth="1"/>
    <col min="4" max="4" width="18.453125" style="13" customWidth="1"/>
    <col min="5" max="5" width="27.26953125" style="13" customWidth="1"/>
    <col min="6" max="6" width="12.81640625" style="13" hidden="1" customWidth="1"/>
    <col min="7" max="7" width="33.453125" style="13" customWidth="1"/>
    <col min="8" max="8" width="3.453125" style="13" customWidth="1"/>
    <col min="9" max="13" width="8.7265625" style="13" customWidth="1"/>
    <col min="14" max="16384" width="8.7265625" style="13" hidden="1"/>
  </cols>
  <sheetData>
    <row r="1" spans="2:12" ht="14.5" customHeight="1" x14ac:dyDescent="0.9"/>
    <row r="2" spans="2:12" x14ac:dyDescent="0.9">
      <c r="B2" s="39" t="s">
        <v>80</v>
      </c>
      <c r="C2" s="166" t="str">
        <f>IF(Lists!W6="LOCKED","Please confirm your acceptance of the Terms of Use",SUM(G5:G22))</f>
        <v>Please confirm your acceptance of the Terms of Use</v>
      </c>
      <c r="D2" s="166"/>
      <c r="E2" s="166"/>
      <c r="F2" s="166"/>
      <c r="G2" s="166"/>
    </row>
    <row r="3" spans="2:12" ht="14.5" customHeight="1" thickBot="1" x14ac:dyDescent="0.95">
      <c r="C3" s="23"/>
    </row>
    <row r="4" spans="2:12" ht="22" customHeight="1" thickTop="1" x14ac:dyDescent="0.9">
      <c r="B4" s="35" t="s">
        <v>213</v>
      </c>
      <c r="C4" s="35" t="s">
        <v>104</v>
      </c>
      <c r="D4" s="35" t="s">
        <v>219</v>
      </c>
      <c r="E4" s="35" t="s">
        <v>220</v>
      </c>
      <c r="F4" s="14" t="s">
        <v>111</v>
      </c>
      <c r="G4" s="27" t="s">
        <v>13</v>
      </c>
      <c r="I4" s="148" t="s">
        <v>193</v>
      </c>
      <c r="J4" s="158"/>
      <c r="K4" s="158"/>
      <c r="L4" s="159"/>
    </row>
    <row r="5" spans="2:12" ht="22" customHeight="1" x14ac:dyDescent="0.9">
      <c r="B5" s="36"/>
      <c r="C5" s="36"/>
      <c r="D5" s="36"/>
      <c r="E5" s="36"/>
      <c r="F5" s="14" t="str">
        <f>B5&amp;C5&amp;D5</f>
        <v/>
      </c>
      <c r="G5" s="37" t="str">
        <f>IFERROR((VLOOKUP(F5,'Look Ups'!$AX$10:$AY$21,2,FALSE)*'6. On-site Service Connections'!E5),"")</f>
        <v/>
      </c>
      <c r="I5" s="160"/>
      <c r="J5" s="161"/>
      <c r="K5" s="161"/>
      <c r="L5" s="162"/>
    </row>
    <row r="6" spans="2:12" ht="22" customHeight="1" x14ac:dyDescent="0.9">
      <c r="B6" s="36"/>
      <c r="C6" s="36"/>
      <c r="D6" s="36"/>
      <c r="E6" s="36"/>
      <c r="F6" s="14" t="str">
        <f t="shared" ref="F6:F22" si="0">B6&amp;C6&amp;D6</f>
        <v/>
      </c>
      <c r="G6" s="37" t="str">
        <f>IFERROR((VLOOKUP(F6,'Look Ups'!$AX$10:$AY$21,2,FALSE)*'6. On-site Service Connections'!E6),"")</f>
        <v/>
      </c>
      <c r="I6" s="160"/>
      <c r="J6" s="161"/>
      <c r="K6" s="161"/>
      <c r="L6" s="162"/>
    </row>
    <row r="7" spans="2:12" ht="22" customHeight="1" x14ac:dyDescent="0.9">
      <c r="B7" s="36"/>
      <c r="C7" s="36"/>
      <c r="D7" s="36"/>
      <c r="E7" s="36"/>
      <c r="F7" s="14" t="str">
        <f t="shared" si="0"/>
        <v/>
      </c>
      <c r="G7" s="37" t="str">
        <f>IFERROR((VLOOKUP(F7,'Look Ups'!$AX$10:$AY$21,2,FALSE)*'6. On-site Service Connections'!E7),"")</f>
        <v/>
      </c>
      <c r="I7" s="160"/>
      <c r="J7" s="161"/>
      <c r="K7" s="161"/>
      <c r="L7" s="162"/>
    </row>
    <row r="8" spans="2:12" ht="22" customHeight="1" x14ac:dyDescent="0.9">
      <c r="B8" s="36"/>
      <c r="C8" s="36"/>
      <c r="D8" s="36"/>
      <c r="E8" s="36"/>
      <c r="F8" s="14" t="str">
        <f t="shared" si="0"/>
        <v/>
      </c>
      <c r="G8" s="37" t="str">
        <f>IFERROR((VLOOKUP(F8,'Look Ups'!$AX$10:$AY$21,2,FALSE)*'6. On-site Service Connections'!E8),"")</f>
        <v/>
      </c>
      <c r="I8" s="160"/>
      <c r="J8" s="161"/>
      <c r="K8" s="161"/>
      <c r="L8" s="162"/>
    </row>
    <row r="9" spans="2:12" ht="22" customHeight="1" x14ac:dyDescent="0.9">
      <c r="B9" s="36"/>
      <c r="C9" s="36"/>
      <c r="D9" s="36"/>
      <c r="E9" s="36"/>
      <c r="F9" s="14" t="str">
        <f t="shared" si="0"/>
        <v/>
      </c>
      <c r="G9" s="37" t="str">
        <f>IFERROR((VLOOKUP(F9,'Look Ups'!$AX$10:$AY$21,2,FALSE)*'6. On-site Service Connections'!E9),"")</f>
        <v/>
      </c>
      <c r="I9" s="160"/>
      <c r="J9" s="161"/>
      <c r="K9" s="161"/>
      <c r="L9" s="162"/>
    </row>
    <row r="10" spans="2:12" ht="22" customHeight="1" x14ac:dyDescent="0.9">
      <c r="B10" s="36"/>
      <c r="C10" s="36"/>
      <c r="D10" s="36"/>
      <c r="E10" s="36"/>
      <c r="F10" s="14" t="str">
        <f t="shared" si="0"/>
        <v/>
      </c>
      <c r="G10" s="37" t="str">
        <f>IFERROR((VLOOKUP(F10,'Look Ups'!$AX$10:$AY$21,2,FALSE)*'6. On-site Service Connections'!E10),"")</f>
        <v/>
      </c>
      <c r="I10" s="160"/>
      <c r="J10" s="161"/>
      <c r="K10" s="161"/>
      <c r="L10" s="162"/>
    </row>
    <row r="11" spans="2:12" ht="22" customHeight="1" x14ac:dyDescent="0.9">
      <c r="B11" s="36"/>
      <c r="C11" s="36"/>
      <c r="D11" s="36"/>
      <c r="E11" s="36"/>
      <c r="F11" s="14" t="str">
        <f t="shared" si="0"/>
        <v/>
      </c>
      <c r="G11" s="37" t="str">
        <f>IFERROR((VLOOKUP(F11,'Look Ups'!$AX$10:$AY$21,2,FALSE)*'6. On-site Service Connections'!E11),"")</f>
        <v/>
      </c>
      <c r="I11" s="160"/>
      <c r="J11" s="161"/>
      <c r="K11" s="161"/>
      <c r="L11" s="162"/>
    </row>
    <row r="12" spans="2:12" ht="22" customHeight="1" x14ac:dyDescent="0.9">
      <c r="B12" s="36"/>
      <c r="C12" s="36"/>
      <c r="D12" s="36"/>
      <c r="E12" s="36"/>
      <c r="F12" s="14" t="str">
        <f t="shared" si="0"/>
        <v/>
      </c>
      <c r="G12" s="37" t="str">
        <f>IFERROR((VLOOKUP(F12,'Look Ups'!$AX$10:$AY$21,2,FALSE)*'6. On-site Service Connections'!E12),"")</f>
        <v/>
      </c>
      <c r="I12" s="160"/>
      <c r="J12" s="161"/>
      <c r="K12" s="161"/>
      <c r="L12" s="162"/>
    </row>
    <row r="13" spans="2:12" ht="22" customHeight="1" x14ac:dyDescent="0.9">
      <c r="B13" s="36"/>
      <c r="C13" s="36"/>
      <c r="D13" s="36"/>
      <c r="E13" s="36"/>
      <c r="F13" s="14" t="str">
        <f t="shared" si="0"/>
        <v/>
      </c>
      <c r="G13" s="37" t="str">
        <f>IFERROR((VLOOKUP(F13,'Look Ups'!$AX$10:$AY$21,2,FALSE)*'6. On-site Service Connections'!E13),"")</f>
        <v/>
      </c>
      <c r="I13" s="160"/>
      <c r="J13" s="161"/>
      <c r="K13" s="161"/>
      <c r="L13" s="162"/>
    </row>
    <row r="14" spans="2:12" ht="22" customHeight="1" x14ac:dyDescent="0.9">
      <c r="B14" s="36"/>
      <c r="C14" s="36"/>
      <c r="D14" s="36"/>
      <c r="E14" s="36"/>
      <c r="F14" s="14" t="str">
        <f t="shared" si="0"/>
        <v/>
      </c>
      <c r="G14" s="37" t="str">
        <f>IFERROR((VLOOKUP(F14,'Look Ups'!$AX$10:$AY$21,2,FALSE)*'6. On-site Service Connections'!E14),"")</f>
        <v/>
      </c>
      <c r="I14" s="160"/>
      <c r="J14" s="161"/>
      <c r="K14" s="161"/>
      <c r="L14" s="162"/>
    </row>
    <row r="15" spans="2:12" ht="22" customHeight="1" x14ac:dyDescent="0.9">
      <c r="B15" s="36"/>
      <c r="C15" s="36"/>
      <c r="D15" s="36"/>
      <c r="E15" s="36"/>
      <c r="F15" s="14" t="str">
        <f t="shared" si="0"/>
        <v/>
      </c>
      <c r="G15" s="37" t="str">
        <f>IFERROR((VLOOKUP(F15,'Look Ups'!$AX$10:$AY$21,2,FALSE)*'6. On-site Service Connections'!E15),"")</f>
        <v/>
      </c>
      <c r="I15" s="160"/>
      <c r="J15" s="161"/>
      <c r="K15" s="161"/>
      <c r="L15" s="162"/>
    </row>
    <row r="16" spans="2:12" ht="22" customHeight="1" x14ac:dyDescent="0.9">
      <c r="B16" s="36"/>
      <c r="C16" s="36"/>
      <c r="D16" s="36"/>
      <c r="E16" s="36"/>
      <c r="F16" s="14" t="str">
        <f t="shared" si="0"/>
        <v/>
      </c>
      <c r="G16" s="37" t="str">
        <f>IFERROR((VLOOKUP(F16,'Look Ups'!$AX$10:$AY$21,2,FALSE)*'6. On-site Service Connections'!E16),"")</f>
        <v/>
      </c>
      <c r="I16" s="160"/>
      <c r="J16" s="161"/>
      <c r="K16" s="161"/>
      <c r="L16" s="162"/>
    </row>
    <row r="17" spans="2:12" ht="22" customHeight="1" x14ac:dyDescent="0.9">
      <c r="B17" s="36"/>
      <c r="C17" s="36"/>
      <c r="D17" s="36"/>
      <c r="E17" s="36"/>
      <c r="F17" s="14" t="str">
        <f t="shared" si="0"/>
        <v/>
      </c>
      <c r="G17" s="37" t="str">
        <f>IFERROR((VLOOKUP(F17,'Look Ups'!$AX$10:$AY$21,2,FALSE)*'6. On-site Service Connections'!E17),"")</f>
        <v/>
      </c>
      <c r="I17" s="160"/>
      <c r="J17" s="161"/>
      <c r="K17" s="161"/>
      <c r="L17" s="162"/>
    </row>
    <row r="18" spans="2:12" ht="22" customHeight="1" x14ac:dyDescent="0.9">
      <c r="B18" s="36"/>
      <c r="C18" s="36"/>
      <c r="D18" s="36"/>
      <c r="E18" s="36"/>
      <c r="F18" s="14" t="str">
        <f t="shared" si="0"/>
        <v/>
      </c>
      <c r="G18" s="37" t="str">
        <f>IFERROR((VLOOKUP(F18,'Look Ups'!$AX$10:$AY$21,2,FALSE)*'6. On-site Service Connections'!E18),"")</f>
        <v/>
      </c>
      <c r="I18" s="160"/>
      <c r="J18" s="161"/>
      <c r="K18" s="161"/>
      <c r="L18" s="162"/>
    </row>
    <row r="19" spans="2:12" ht="22" customHeight="1" x14ac:dyDescent="0.9">
      <c r="B19" s="36"/>
      <c r="C19" s="36"/>
      <c r="D19" s="36"/>
      <c r="E19" s="36"/>
      <c r="F19" s="14" t="str">
        <f t="shared" si="0"/>
        <v/>
      </c>
      <c r="G19" s="37" t="str">
        <f>IFERROR((VLOOKUP(F19,'Look Ups'!$AX$10:$AY$21,2,FALSE)*'6. On-site Service Connections'!E19),"")</f>
        <v/>
      </c>
      <c r="I19" s="160"/>
      <c r="J19" s="161"/>
      <c r="K19" s="161"/>
      <c r="L19" s="162"/>
    </row>
    <row r="20" spans="2:12" ht="22" customHeight="1" x14ac:dyDescent="0.9">
      <c r="B20" s="36"/>
      <c r="C20" s="36"/>
      <c r="D20" s="36"/>
      <c r="E20" s="36"/>
      <c r="F20" s="14" t="str">
        <f t="shared" si="0"/>
        <v/>
      </c>
      <c r="G20" s="37" t="str">
        <f>IFERROR((VLOOKUP(F20,'Look Ups'!$AX$10:$AY$21,2,FALSE)*'6. On-site Service Connections'!E20),"")</f>
        <v/>
      </c>
      <c r="I20" s="160"/>
      <c r="J20" s="161"/>
      <c r="K20" s="161"/>
      <c r="L20" s="162"/>
    </row>
    <row r="21" spans="2:12" ht="22" customHeight="1" x14ac:dyDescent="0.9">
      <c r="B21" s="36"/>
      <c r="C21" s="36"/>
      <c r="D21" s="36"/>
      <c r="E21" s="36"/>
      <c r="F21" s="14" t="str">
        <f t="shared" si="0"/>
        <v/>
      </c>
      <c r="G21" s="37" t="str">
        <f>IFERROR((VLOOKUP(F21,'Look Ups'!$AX$10:$AY$21,2,FALSE)*'6. On-site Service Connections'!E21),"")</f>
        <v/>
      </c>
      <c r="I21" s="160"/>
      <c r="J21" s="161"/>
      <c r="K21" s="161"/>
      <c r="L21" s="162"/>
    </row>
    <row r="22" spans="2:12" ht="22" customHeight="1" thickBot="1" x14ac:dyDescent="0.95">
      <c r="B22" s="36"/>
      <c r="C22" s="36"/>
      <c r="D22" s="36"/>
      <c r="E22" s="36"/>
      <c r="F22" s="14" t="str">
        <f t="shared" si="0"/>
        <v/>
      </c>
      <c r="G22" s="37" t="str">
        <f>IFERROR((VLOOKUP(F22,'Look Ups'!$AX$10:$AY$21,2,FALSE)*'6. On-site Service Connections'!E22),"")</f>
        <v/>
      </c>
      <c r="I22" s="163"/>
      <c r="J22" s="164"/>
      <c r="K22" s="164"/>
      <c r="L22" s="165"/>
    </row>
    <row r="23" spans="2:12" ht="22" thickTop="1" x14ac:dyDescent="0.9"/>
  </sheetData>
  <sheetProtection algorithmName="SHA-512" hashValue="09/1psj2VbiXkxlhNSNS5BVcwz7bFP7bShd5QHPI2Z53vo3LVw8ieGi7PMVusLpV+umWMMQhq+65YZqO4l/ktg==" saltValue="+6CnoeWS3/J0xdIncPcS2g==" spinCount="100000" sheet="1" objects="1" scenarios="1"/>
  <mergeCells count="2">
    <mergeCell ref="C2:G2"/>
    <mergeCell ref="I4:L22"/>
  </mergeCells>
  <conditionalFormatting sqref="G5:G22">
    <cfRule type="expression" dxfId="17" priority="1">
      <formula>$C$2="Please confirm your acceptance of the Terms of Use"</formula>
    </cfRule>
    <cfRule type="expression" dxfId="16" priority="2">
      <formula>$C$2="Please refer to Front Page"</formula>
    </cfRule>
  </conditionalFormatting>
  <dataValidations count="1">
    <dataValidation type="whole" allowBlank="1" showInputMessage="1" showErrorMessage="1" sqref="E5:E22" xr:uid="{2CA8D21A-6D15-49D0-AAFB-BD6FADD4E663}">
      <formula1>0</formula1>
      <formula2>1000000000000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C95C67D-AABF-4FBF-AA9E-E19CF7AD4EB7}">
          <x14:formula1>
            <xm:f>Lists!$D$1:$D$2</xm:f>
          </x14:formula1>
          <xm:sqref>B5:C22</xm:sqref>
        </x14:dataValidation>
        <x14:dataValidation type="list" allowBlank="1" showInputMessage="1" showErrorMessage="1" xr:uid="{328E90FF-A528-4956-A0BD-30581CCCDD4B}">
          <x14:formula1>
            <xm:f>Lists!$G$1:$G$3</xm:f>
          </x14:formula1>
          <xm:sqref>D5:D22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3BF103C106A64B9C96735721C1BB34" ma:contentTypeVersion="14" ma:contentTypeDescription="Create a new document." ma:contentTypeScope="" ma:versionID="9ee0d0989cc4dfc7fd2822ea088cf7e1">
  <xsd:schema xmlns:xsd="http://www.w3.org/2001/XMLSchema" xmlns:xs="http://www.w3.org/2001/XMLSchema" xmlns:p="http://schemas.microsoft.com/office/2006/metadata/properties" xmlns:ns2="6b49b777-5a85-4db1-8272-4ab93e57f55f" xmlns:ns3="f1bba0e6-7c8f-4b7f-8a91-b430cd4d8a86" targetNamespace="http://schemas.microsoft.com/office/2006/metadata/properties" ma:root="true" ma:fieldsID="bb280034d205a08182631e479d0d8e5e" ns2:_="" ns3:_="">
    <xsd:import namespace="6b49b777-5a85-4db1-8272-4ab93e57f55f"/>
    <xsd:import namespace="f1bba0e6-7c8f-4b7f-8a91-b430cd4d8a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9b777-5a85-4db1-8272-4ab93e57f5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bba0e6-7c8f-4b7f-8a91-b430cd4d8a8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4bd09a4-6015-4bac-9d79-12af0367fb43}" ma:internalName="TaxCatchAll" ma:showField="CatchAllData" ma:web="f1bba0e6-7c8f-4b7f-8a91-b430cd4d8a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b49b777-5a85-4db1-8272-4ab93e57f55f">
      <Terms xmlns="http://schemas.microsoft.com/office/infopath/2007/PartnerControls"/>
    </lcf76f155ced4ddcb4097134ff3c332f>
    <TaxCatchAll xmlns="f1bba0e6-7c8f-4b7f-8a91-b430cd4d8a86" xsi:nil="true"/>
  </documentManagement>
</p:properties>
</file>

<file path=customXml/itemProps1.xml><?xml version="1.0" encoding="utf-8"?>
<ds:datastoreItem xmlns:ds="http://schemas.openxmlformats.org/officeDocument/2006/customXml" ds:itemID="{506F2E34-8BC3-420D-851D-C997251C3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49b777-5a85-4db1-8272-4ab93e57f55f"/>
    <ds:schemaRef ds:uri="f1bba0e6-7c8f-4b7f-8a91-b430cd4d8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D3437-B91A-4851-9FE1-96F37CCF1BDE}">
  <ds:schemaRefs>
    <ds:schemaRef ds:uri="http://schemas.microsoft.com/sharepoint/v3/contenttype/forms"/>
  </ds:schemaRefs>
</ds:datastoreItem>
</file>

<file path=customXml/itemProps3.xml><?xml version="1.0" encoding="utf-8"?>
<ds:datastoreItem xmlns:ds="http://schemas.openxmlformats.org/officeDocument/2006/customXml" ds:itemID="{EDE1B2CF-B96F-4D54-947A-02DD2292C5BC}">
  <ds:schemaRefs>
    <ds:schemaRef ds:uri="http://schemas.microsoft.com/office/2006/metadata/properties"/>
    <ds:schemaRef ds:uri="http://schemas.microsoft.com/office/infopath/2007/PartnerControls"/>
    <ds:schemaRef ds:uri="6b49b777-5a85-4db1-8272-4ab93e57f55f"/>
    <ds:schemaRef ds:uri="f1bba0e6-7c8f-4b7f-8a91-b430cd4d8a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Terms Of Use</vt:lpstr>
      <vt:lpstr>Instructions</vt:lpstr>
      <vt:lpstr>Your Estimate</vt:lpstr>
      <vt:lpstr>1. Application Fees</vt:lpstr>
      <vt:lpstr>2. Branch Connections</vt:lpstr>
      <vt:lpstr>3. Main Laying</vt:lpstr>
      <vt:lpstr>4. Chlorinations For Self Laid</vt:lpstr>
      <vt:lpstr>5. Additional Phases</vt:lpstr>
      <vt:lpstr>6. On-site Service Connections</vt:lpstr>
      <vt:lpstr>7. On-site Manifolds</vt:lpstr>
      <vt:lpstr>8. Meters For Self Lay</vt:lpstr>
      <vt:lpstr>9. Meters For Flats</vt:lpstr>
      <vt:lpstr>10. Traffic Management</vt:lpstr>
      <vt:lpstr>10. Network Assembly</vt:lpstr>
      <vt:lpstr>12. Disconnection And Capping</vt:lpstr>
      <vt:lpstr>11. Infrastructure Charges</vt:lpstr>
      <vt:lpstr>12. NHH Infrastructure Charges</vt:lpstr>
      <vt:lpstr>Loading Units</vt:lpstr>
      <vt:lpstr>Lists</vt:lpstr>
      <vt:lpstr>Look 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KOTWAL</dc:creator>
  <cp:lastModifiedBy>Jamie Mckinlay</cp:lastModifiedBy>
  <dcterms:created xsi:type="dcterms:W3CDTF">2023-05-26T09:50:47Z</dcterms:created>
  <dcterms:modified xsi:type="dcterms:W3CDTF">2023-07-24T10:17:16Z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etDate">
    <vt:lpwstr>2023-05-26T09:50:47Z</vt:lpwstr>
  </property>
  <property fmtid="{D5CDD505-2E9C-101B-9397-08002B2CF9AE}" pid="4" name="MSIP_Label_d04dfc70-0289-4bbf-a1df-2e48919102f8_Method">
    <vt:lpwstr>Standard</vt:lpwstr>
  </property>
  <property fmtid="{D5CDD505-2E9C-101B-9397-08002B2CF9AE}" pid="5" name="MSIP_Label_d04dfc70-0289-4bbf-a1df-2e48919102f8_Name">
    <vt:lpwstr>Private2</vt:lpwstr>
  </property>
  <property fmtid="{D5CDD505-2E9C-101B-9397-08002B2CF9AE}" pid="6" name="MSIP_Label_d04dfc70-0289-4bbf-a1df-2e48919102f8_SiteId">
    <vt:lpwstr>92ebd22d-0a9c-4516-a68f-ba966853a8f3</vt:lpwstr>
  </property>
  <property fmtid="{D5CDD505-2E9C-101B-9397-08002B2CF9AE}" pid="7" name="MSIP_Label_d04dfc70-0289-4bbf-a1df-2e48919102f8_ActionId">
    <vt:lpwstr>eb97abd5-3794-4055-a4a9-bd363111b495</vt:lpwstr>
  </property>
  <property fmtid="{D5CDD505-2E9C-101B-9397-08002B2CF9AE}" pid="8" name="MSIP_Label_d04dfc70-0289-4bbf-a1df-2e48919102f8_ContentBits">
    <vt:lpwstr>0</vt:lpwstr>
  </property>
  <property fmtid="{D5CDD505-2E9C-101B-9397-08002B2CF9AE}" pid="9" name="ContentTypeId">
    <vt:lpwstr>0x0101003F3BF103C106A64B9C96735721C1BB34</vt:lpwstr>
  </property>
  <property fmtid="{D5CDD505-2E9C-101B-9397-08002B2CF9AE}" pid="10" name="MediaServiceImageTags">
    <vt:lpwstr/>
  </property>
</Properties>
</file>