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yorkshirewater.sharepoint.com/teams/DeveloperServicesTeam/Communication  Customer Documents in Development/"/>
    </mc:Choice>
  </mc:AlternateContent>
  <xr:revisionPtr revIDLastSave="0" documentId="8_{9850D5AD-9167-4062-BDE5-7A2887DA1600}" xr6:coauthVersionLast="47" xr6:coauthVersionMax="47" xr10:uidLastSave="{00000000-0000-0000-0000-000000000000}"/>
  <workbookProtection workbookAlgorithmName="SHA-512" workbookHashValue="WRO2Rj3naxur8/dRhcZC/wTSzm4b8UyWcx6F91gvDXBvwWHVpkQLMkjVyYq7I6Z7ga6ROKK2y2KmsOxTLTQ05g==" workbookSaltValue="AOWYvcaqSScJV3ilyRdDlg==" workbookSpinCount="100000" lockStructure="1"/>
  <bookViews>
    <workbookView xWindow="28680" yWindow="-120" windowWidth="29040" windowHeight="15840" xr2:uid="{D6228E34-4E51-4D2A-B543-D2CAEEBED6D3}"/>
  </bookViews>
  <sheets>
    <sheet name="Terms Of Use" sheetId="21" r:id="rId1"/>
    <sheet name="Instructions" sheetId="1" r:id="rId2"/>
    <sheet name="Your Estimate" sheetId="22" r:id="rId3"/>
    <sheet name="1. Application Fees" sheetId="10" r:id="rId4"/>
    <sheet name="2. Branch Connections" sheetId="2" r:id="rId5"/>
    <sheet name="3. Main Laying" sheetId="3" r:id="rId6"/>
    <sheet name="4. Chlorinations For Self Laid" sheetId="5" r:id="rId7"/>
    <sheet name="5. Additional Phases" sheetId="4" r:id="rId8"/>
    <sheet name="6. On-site Service Connections" sheetId="11" r:id="rId9"/>
    <sheet name="7. On-site Manifolds" sheetId="12" r:id="rId10"/>
    <sheet name="8. Meters For Self Lay" sheetId="13" r:id="rId11"/>
    <sheet name="9. Meters For Flats" sheetId="18" r:id="rId12"/>
    <sheet name="10. Traffic Management" sheetId="14" state="hidden" r:id="rId13"/>
    <sheet name="10. Network Assembly" sheetId="9" r:id="rId14"/>
    <sheet name="12. Disconnection And Capping" sheetId="15" state="hidden" r:id="rId15"/>
    <sheet name="11. Infrastructure Charges" sheetId="16" r:id="rId16"/>
    <sheet name="12. NHH Infrastructure Charges" sheetId="19" r:id="rId17"/>
    <sheet name="Loading Units" sheetId="20" r:id="rId18"/>
    <sheet name="Lists" sheetId="8" state="hidden" r:id="rId19"/>
    <sheet name="Look Ups" sheetId="7" state="hidden"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8" l="1"/>
  <c r="J6" i="19" l="1"/>
  <c r="J7" i="19"/>
  <c r="J8" i="19"/>
  <c r="J9" i="19"/>
  <c r="J10" i="19"/>
  <c r="J11" i="19"/>
  <c r="J12" i="19"/>
  <c r="J13" i="19"/>
  <c r="J14" i="19"/>
  <c r="J15" i="19"/>
  <c r="J16" i="19"/>
  <c r="J17" i="19"/>
  <c r="J18" i="19"/>
  <c r="J19" i="19"/>
  <c r="J20" i="19"/>
  <c r="J21" i="19"/>
  <c r="J22" i="19"/>
  <c r="I6" i="19"/>
  <c r="I7" i="19"/>
  <c r="I8" i="19"/>
  <c r="I9" i="19"/>
  <c r="I10" i="19"/>
  <c r="I11" i="19"/>
  <c r="I12" i="19"/>
  <c r="I13" i="19"/>
  <c r="I14" i="19"/>
  <c r="I15" i="19"/>
  <c r="I16" i="19"/>
  <c r="I17" i="19"/>
  <c r="I18" i="19"/>
  <c r="I19" i="19"/>
  <c r="I20" i="19"/>
  <c r="I21" i="19"/>
  <c r="I22" i="19"/>
  <c r="H6" i="19"/>
  <c r="H7" i="19"/>
  <c r="H8" i="19"/>
  <c r="H9" i="19"/>
  <c r="H10" i="19"/>
  <c r="H11" i="19"/>
  <c r="H12" i="19"/>
  <c r="H13" i="19"/>
  <c r="H14" i="19"/>
  <c r="H15" i="19"/>
  <c r="H16" i="19"/>
  <c r="H17" i="19"/>
  <c r="H18" i="19"/>
  <c r="H19" i="19"/>
  <c r="H20" i="19"/>
  <c r="H21" i="19"/>
  <c r="H22" i="19"/>
  <c r="I5" i="19"/>
  <c r="H5" i="19"/>
  <c r="W5" i="8" l="1"/>
  <c r="W3" i="8"/>
  <c r="W4" i="8"/>
  <c r="W2" i="8"/>
  <c r="W1" i="8"/>
  <c r="G10" i="19"/>
  <c r="G22" i="19"/>
  <c r="G21" i="19"/>
  <c r="G20" i="19"/>
  <c r="G19" i="19"/>
  <c r="G18" i="19"/>
  <c r="G17" i="19"/>
  <c r="G16" i="19"/>
  <c r="G15" i="19"/>
  <c r="G14" i="19"/>
  <c r="G13" i="19"/>
  <c r="G12" i="19"/>
  <c r="G11" i="19"/>
  <c r="G9" i="19"/>
  <c r="G8" i="19"/>
  <c r="G7" i="19"/>
  <c r="G6" i="19"/>
  <c r="J5" i="19"/>
  <c r="D22" i="18"/>
  <c r="D21" i="18"/>
  <c r="D20" i="18"/>
  <c r="D19" i="18"/>
  <c r="D18" i="18"/>
  <c r="D17" i="18"/>
  <c r="D16" i="18"/>
  <c r="D15" i="18"/>
  <c r="D14" i="18"/>
  <c r="D13" i="18"/>
  <c r="D12" i="18"/>
  <c r="D11" i="18"/>
  <c r="D10" i="18"/>
  <c r="D9" i="18"/>
  <c r="D8" i="18"/>
  <c r="D6" i="18"/>
  <c r="D5" i="18"/>
  <c r="Q4" i="14"/>
  <c r="J6" i="16"/>
  <c r="J7" i="16"/>
  <c r="J8" i="16"/>
  <c r="J9" i="16"/>
  <c r="J10" i="16"/>
  <c r="J11" i="16"/>
  <c r="J12" i="16"/>
  <c r="J13" i="16"/>
  <c r="J14" i="16"/>
  <c r="J15" i="16"/>
  <c r="J16" i="16"/>
  <c r="J17" i="16"/>
  <c r="J18" i="16"/>
  <c r="J19" i="16"/>
  <c r="J20" i="16"/>
  <c r="J21" i="16"/>
  <c r="J22" i="16"/>
  <c r="I6" i="16"/>
  <c r="I7" i="16"/>
  <c r="I8" i="16"/>
  <c r="I9" i="16"/>
  <c r="I10" i="16"/>
  <c r="I11" i="16"/>
  <c r="I12" i="16"/>
  <c r="I13" i="16"/>
  <c r="I14" i="16"/>
  <c r="I15" i="16"/>
  <c r="I16" i="16"/>
  <c r="I17" i="16"/>
  <c r="I18" i="16"/>
  <c r="I19" i="16"/>
  <c r="I20" i="16"/>
  <c r="I21" i="16"/>
  <c r="I22" i="16"/>
  <c r="H6" i="16"/>
  <c r="G6" i="16" s="1"/>
  <c r="H7" i="16"/>
  <c r="G7" i="16" s="1"/>
  <c r="H8" i="16"/>
  <c r="G8" i="16" s="1"/>
  <c r="H9" i="16"/>
  <c r="G9" i="16" s="1"/>
  <c r="H10" i="16"/>
  <c r="H11" i="16"/>
  <c r="H12" i="16"/>
  <c r="G12" i="16" s="1"/>
  <c r="H13" i="16"/>
  <c r="G13" i="16" s="1"/>
  <c r="H14" i="16"/>
  <c r="G14" i="16" s="1"/>
  <c r="H15" i="16"/>
  <c r="G15" i="16" s="1"/>
  <c r="H16" i="16"/>
  <c r="G16" i="16" s="1"/>
  <c r="H17" i="16"/>
  <c r="G17" i="16" s="1"/>
  <c r="H18" i="16"/>
  <c r="G18" i="16" s="1"/>
  <c r="H19" i="16"/>
  <c r="H20" i="16"/>
  <c r="G20" i="16" s="1"/>
  <c r="H21" i="16"/>
  <c r="G21" i="16" s="1"/>
  <c r="H22" i="16"/>
  <c r="G11" i="16"/>
  <c r="G19" i="16"/>
  <c r="G22" i="16"/>
  <c r="J5" i="16"/>
  <c r="I5" i="16"/>
  <c r="H5" i="16"/>
  <c r="G10" i="16" l="1"/>
  <c r="W6" i="8"/>
  <c r="G5" i="19"/>
  <c r="G5" i="16"/>
  <c r="F19" i="22" l="1"/>
  <c r="D15" i="22"/>
  <c r="D25" i="22"/>
  <c r="B4" i="22"/>
  <c r="C2" i="19"/>
  <c r="C2" i="5"/>
  <c r="C2" i="16"/>
  <c r="C2" i="18"/>
  <c r="C2" i="12"/>
  <c r="C2" i="13"/>
  <c r="C2" i="11"/>
  <c r="D23" i="22"/>
  <c r="B1" i="14"/>
  <c r="D11" i="22"/>
  <c r="B1" i="15"/>
  <c r="N5" i="15"/>
  <c r="N6" i="15"/>
  <c r="N7" i="15"/>
  <c r="N8" i="15"/>
  <c r="N9" i="15"/>
  <c r="N10" i="15"/>
  <c r="N11" i="15"/>
  <c r="N12" i="15"/>
  <c r="N13" i="15"/>
  <c r="N14" i="15"/>
  <c r="N15" i="15"/>
  <c r="N16" i="15"/>
  <c r="N17" i="15"/>
  <c r="N18" i="15"/>
  <c r="N19" i="15"/>
  <c r="N20" i="15"/>
  <c r="M5" i="15"/>
  <c r="M6" i="15"/>
  <c r="M7" i="15"/>
  <c r="M8" i="15"/>
  <c r="M9" i="15"/>
  <c r="M10" i="15"/>
  <c r="M11" i="15"/>
  <c r="M12" i="15"/>
  <c r="M13" i="15"/>
  <c r="M14" i="15"/>
  <c r="M15" i="15"/>
  <c r="M16" i="15"/>
  <c r="M17" i="15"/>
  <c r="M18" i="15"/>
  <c r="M19" i="15"/>
  <c r="M20" i="15"/>
  <c r="M4" i="15"/>
  <c r="N4" i="15" s="1"/>
  <c r="BX9" i="7"/>
  <c r="BX10" i="7"/>
  <c r="BX11" i="7"/>
  <c r="BX12" i="7"/>
  <c r="BX13" i="7"/>
  <c r="BX14" i="7"/>
  <c r="BX15" i="7"/>
  <c r="BX16" i="7"/>
  <c r="BX17" i="7"/>
  <c r="BX18" i="7"/>
  <c r="BX19" i="7"/>
  <c r="BX20" i="7"/>
  <c r="BX21" i="7"/>
  <c r="BX22" i="7"/>
  <c r="BX23" i="7"/>
  <c r="BX24" i="7"/>
  <c r="BX25" i="7"/>
  <c r="BX26" i="7"/>
  <c r="BX27" i="7"/>
  <c r="BX28" i="7"/>
  <c r="BX29" i="7"/>
  <c r="BX30" i="7"/>
  <c r="BX31" i="7"/>
  <c r="BX8" i="7"/>
  <c r="D5" i="15"/>
  <c r="D6" i="15"/>
  <c r="D7" i="15"/>
  <c r="D8" i="15"/>
  <c r="D9" i="15"/>
  <c r="D10" i="15"/>
  <c r="D11" i="15"/>
  <c r="D12" i="15"/>
  <c r="D13" i="15"/>
  <c r="D14" i="15"/>
  <c r="D15" i="15"/>
  <c r="D16" i="15"/>
  <c r="D17" i="15"/>
  <c r="D18" i="15"/>
  <c r="D19" i="15"/>
  <c r="D20" i="15"/>
  <c r="C5" i="15"/>
  <c r="C6" i="15"/>
  <c r="C7" i="15"/>
  <c r="C8" i="15"/>
  <c r="C9" i="15"/>
  <c r="C10" i="15"/>
  <c r="C11" i="15"/>
  <c r="C12" i="15"/>
  <c r="C13" i="15"/>
  <c r="C14" i="15"/>
  <c r="C15" i="15"/>
  <c r="C16" i="15"/>
  <c r="C17" i="15"/>
  <c r="C18" i="15"/>
  <c r="C19" i="15"/>
  <c r="C20" i="15"/>
  <c r="C4" i="15"/>
  <c r="D4" i="15" s="1"/>
  <c r="BS15" i="7"/>
  <c r="BS14" i="7"/>
  <c r="BS13" i="7"/>
  <c r="BS12" i="7"/>
  <c r="BS11" i="7"/>
  <c r="BS10" i="7"/>
  <c r="BS9" i="7"/>
  <c r="BS8" i="7"/>
  <c r="Q6" i="14"/>
  <c r="Q5" i="14"/>
  <c r="Q3" i="14"/>
  <c r="D4" i="14"/>
  <c r="D6" i="14"/>
  <c r="D7" i="14"/>
  <c r="D8" i="14"/>
  <c r="D9" i="14"/>
  <c r="D10" i="14"/>
  <c r="D11" i="14"/>
  <c r="D12" i="14"/>
  <c r="D13" i="14"/>
  <c r="D14" i="14"/>
  <c r="D15" i="14"/>
  <c r="D16" i="14"/>
  <c r="D17" i="14"/>
  <c r="D18" i="14"/>
  <c r="D19" i="14"/>
  <c r="D20" i="14"/>
  <c r="C4" i="14"/>
  <c r="C5" i="14"/>
  <c r="C6" i="14"/>
  <c r="C7" i="14"/>
  <c r="C8" i="14"/>
  <c r="C9" i="14"/>
  <c r="C10" i="14"/>
  <c r="C11" i="14"/>
  <c r="C12" i="14"/>
  <c r="C13" i="14"/>
  <c r="C14" i="14"/>
  <c r="C15" i="14"/>
  <c r="C16" i="14"/>
  <c r="C17" i="14"/>
  <c r="C18" i="14"/>
  <c r="C19" i="14"/>
  <c r="C20" i="14"/>
  <c r="C3" i="14"/>
  <c r="D3" i="14" s="1"/>
  <c r="D6" i="13"/>
  <c r="D7" i="13"/>
  <c r="D8" i="13"/>
  <c r="D9" i="13"/>
  <c r="D10" i="13"/>
  <c r="D11" i="13"/>
  <c r="D12" i="13"/>
  <c r="D13" i="13"/>
  <c r="D14" i="13"/>
  <c r="D15" i="13"/>
  <c r="D16" i="13"/>
  <c r="D17" i="13"/>
  <c r="D18" i="13"/>
  <c r="D19" i="13"/>
  <c r="D20" i="13"/>
  <c r="D21" i="13"/>
  <c r="D22" i="13"/>
  <c r="D5" i="13"/>
  <c r="E6" i="12"/>
  <c r="E7" i="12"/>
  <c r="E8" i="12"/>
  <c r="E9" i="12"/>
  <c r="E10" i="12"/>
  <c r="E11" i="12"/>
  <c r="E12" i="12"/>
  <c r="E13" i="12"/>
  <c r="E14" i="12"/>
  <c r="E15" i="12"/>
  <c r="E16" i="12"/>
  <c r="E17" i="12"/>
  <c r="E18" i="12"/>
  <c r="E19" i="12"/>
  <c r="E20" i="12"/>
  <c r="E21" i="12"/>
  <c r="E22" i="12"/>
  <c r="E5" i="12"/>
  <c r="BE10" i="7"/>
  <c r="BE11" i="7"/>
  <c r="BE12" i="7"/>
  <c r="BE13" i="7"/>
  <c r="BE9" i="7"/>
  <c r="BD10" i="7"/>
  <c r="BD11" i="7"/>
  <c r="BD12" i="7"/>
  <c r="BD13" i="7"/>
  <c r="BD14" i="7"/>
  <c r="BD15" i="7"/>
  <c r="BD16" i="7"/>
  <c r="BD17" i="7"/>
  <c r="BD18" i="7"/>
  <c r="BD9" i="7"/>
  <c r="F6" i="11"/>
  <c r="F7" i="11"/>
  <c r="G7" i="11" s="1"/>
  <c r="F8" i="11"/>
  <c r="G8" i="11" s="1"/>
  <c r="F9" i="11"/>
  <c r="F10" i="11"/>
  <c r="F11" i="11"/>
  <c r="F12" i="11"/>
  <c r="F13" i="11"/>
  <c r="F14" i="11"/>
  <c r="F15" i="11"/>
  <c r="G15" i="11" s="1"/>
  <c r="F16" i="11"/>
  <c r="F17" i="11"/>
  <c r="F18" i="11"/>
  <c r="F19" i="11"/>
  <c r="F20" i="11"/>
  <c r="F21" i="11"/>
  <c r="F22" i="11"/>
  <c r="F5" i="11"/>
  <c r="AX11" i="7"/>
  <c r="AX12" i="7"/>
  <c r="AX13" i="7"/>
  <c r="AX14" i="7"/>
  <c r="AX15" i="7"/>
  <c r="AX16" i="7"/>
  <c r="AX17" i="7"/>
  <c r="AX18" i="7"/>
  <c r="AX19" i="7"/>
  <c r="AX20" i="7"/>
  <c r="AX21" i="7"/>
  <c r="AX10" i="7"/>
  <c r="E6" i="10"/>
  <c r="E7" i="10"/>
  <c r="E8" i="10"/>
  <c r="E9" i="10"/>
  <c r="E10" i="10"/>
  <c r="E11" i="10"/>
  <c r="E12" i="10"/>
  <c r="E13" i="10"/>
  <c r="E14" i="10"/>
  <c r="E15" i="10"/>
  <c r="E16" i="10"/>
  <c r="E17" i="10"/>
  <c r="E18" i="10"/>
  <c r="E19" i="10"/>
  <c r="E20" i="10"/>
  <c r="E21" i="10"/>
  <c r="E22" i="10"/>
  <c r="E5" i="10"/>
  <c r="I5" i="10" s="1"/>
  <c r="AG16" i="7"/>
  <c r="AG17" i="7"/>
  <c r="AG18" i="7"/>
  <c r="AF12" i="7"/>
  <c r="AF13" i="7"/>
  <c r="AF14" i="7"/>
  <c r="AF15" i="7"/>
  <c r="AF16" i="7"/>
  <c r="AF17" i="7"/>
  <c r="AF18" i="7"/>
  <c r="AF19" i="7"/>
  <c r="AF20" i="7"/>
  <c r="AF21" i="7"/>
  <c r="AF22" i="7"/>
  <c r="AF23" i="7"/>
  <c r="AF24" i="7"/>
  <c r="AF25" i="7"/>
  <c r="AF26" i="7"/>
  <c r="AF11" i="7"/>
  <c r="AK12" i="7"/>
  <c r="AG12" i="7" s="1"/>
  <c r="AK13" i="7"/>
  <c r="AG13" i="7" s="1"/>
  <c r="AK14" i="7"/>
  <c r="AG14" i="7" s="1"/>
  <c r="AK15" i="7"/>
  <c r="AG15" i="7" s="1"/>
  <c r="AK16" i="7"/>
  <c r="AK17" i="7"/>
  <c r="AK18" i="7"/>
  <c r="AK19" i="7"/>
  <c r="AG19" i="7" s="1"/>
  <c r="AK20" i="7"/>
  <c r="AG20" i="7" s="1"/>
  <c r="AK21" i="7"/>
  <c r="AG21" i="7" s="1"/>
  <c r="AK22" i="7"/>
  <c r="AG22" i="7" s="1"/>
  <c r="AK11" i="7"/>
  <c r="AG11" i="7" s="1"/>
  <c r="F6" i="2"/>
  <c r="F7" i="2"/>
  <c r="F8" i="2"/>
  <c r="F9" i="2"/>
  <c r="F10" i="2"/>
  <c r="F11" i="2"/>
  <c r="F12" i="2"/>
  <c r="F13" i="2"/>
  <c r="F14" i="2"/>
  <c r="F15" i="2"/>
  <c r="F16" i="2"/>
  <c r="F17" i="2"/>
  <c r="F18" i="2"/>
  <c r="F19" i="2"/>
  <c r="F20" i="2"/>
  <c r="F21" i="2"/>
  <c r="F22" i="2"/>
  <c r="F5" i="2"/>
  <c r="G5" i="2" s="1"/>
  <c r="C2" i="2" s="1"/>
  <c r="E58" i="7"/>
  <c r="E57" i="7"/>
  <c r="E56" i="7"/>
  <c r="E55" i="7"/>
  <c r="E54" i="7"/>
  <c r="E53" i="7"/>
  <c r="E52" i="7"/>
  <c r="E51" i="7"/>
  <c r="E50" i="7"/>
  <c r="E49" i="7"/>
  <c r="E48" i="7"/>
  <c r="E47" i="7"/>
  <c r="E46" i="7"/>
  <c r="E45" i="7"/>
  <c r="E44" i="7"/>
  <c r="E43" i="7"/>
  <c r="E42" i="7"/>
  <c r="E41" i="7"/>
  <c r="E40" i="7"/>
  <c r="E39" i="7"/>
  <c r="E38" i="7"/>
  <c r="E37" i="7"/>
  <c r="E36" i="7"/>
  <c r="E35" i="7"/>
  <c r="D36" i="7"/>
  <c r="D37" i="7"/>
  <c r="D38" i="7"/>
  <c r="D39" i="7"/>
  <c r="D40" i="7"/>
  <c r="D41" i="7"/>
  <c r="D42" i="7"/>
  <c r="D43" i="7"/>
  <c r="D44" i="7"/>
  <c r="D45" i="7"/>
  <c r="D46" i="7"/>
  <c r="D47" i="7"/>
  <c r="D48" i="7"/>
  <c r="D49" i="7"/>
  <c r="D50" i="7"/>
  <c r="D51" i="7"/>
  <c r="D52" i="7"/>
  <c r="D53" i="7"/>
  <c r="D54" i="7"/>
  <c r="D55" i="7"/>
  <c r="D56" i="7"/>
  <c r="D57" i="7"/>
  <c r="D58" i="7"/>
  <c r="D35" i="7"/>
  <c r="D34" i="7"/>
  <c r="D12" i="7"/>
  <c r="D13" i="7"/>
  <c r="D14" i="7"/>
  <c r="D15" i="7"/>
  <c r="D16" i="7"/>
  <c r="D17" i="7"/>
  <c r="D18" i="7"/>
  <c r="D19" i="7"/>
  <c r="D20" i="7"/>
  <c r="D21" i="7"/>
  <c r="D22" i="7"/>
  <c r="D23" i="7"/>
  <c r="D24" i="7"/>
  <c r="D25" i="7"/>
  <c r="D26" i="7"/>
  <c r="D27" i="7"/>
  <c r="D28" i="7"/>
  <c r="D29" i="7"/>
  <c r="D30" i="7"/>
  <c r="D31" i="7"/>
  <c r="D32" i="7"/>
  <c r="D33" i="7"/>
  <c r="D11" i="7"/>
  <c r="F6" i="9"/>
  <c r="F7" i="9"/>
  <c r="F8" i="9"/>
  <c r="F9" i="9"/>
  <c r="F10" i="9"/>
  <c r="F11" i="9"/>
  <c r="F12" i="9"/>
  <c r="F13" i="9"/>
  <c r="F14" i="9"/>
  <c r="F15" i="9"/>
  <c r="F16" i="9"/>
  <c r="F17" i="9"/>
  <c r="F18" i="9"/>
  <c r="F19" i="9"/>
  <c r="F20" i="9"/>
  <c r="F21" i="9"/>
  <c r="F22" i="9"/>
  <c r="D6" i="5"/>
  <c r="E6" i="5" s="1"/>
  <c r="D7" i="5"/>
  <c r="E7" i="5" s="1"/>
  <c r="D8" i="5"/>
  <c r="E8" i="5" s="1"/>
  <c r="D9" i="5"/>
  <c r="E9" i="5" s="1"/>
  <c r="D10" i="5"/>
  <c r="E10" i="5" s="1"/>
  <c r="D11" i="5"/>
  <c r="E11" i="5" s="1"/>
  <c r="D12" i="5"/>
  <c r="E12" i="5" s="1"/>
  <c r="D13" i="5"/>
  <c r="E13" i="5" s="1"/>
  <c r="D14" i="5"/>
  <c r="E14" i="5" s="1"/>
  <c r="D15" i="5"/>
  <c r="E15" i="5" s="1"/>
  <c r="D16" i="5"/>
  <c r="E16" i="5" s="1"/>
  <c r="D17" i="5"/>
  <c r="E17" i="5" s="1"/>
  <c r="D18" i="5"/>
  <c r="E18" i="5" s="1"/>
  <c r="D19" i="5"/>
  <c r="E19" i="5" s="1"/>
  <c r="D20" i="5"/>
  <c r="E20" i="5" s="1"/>
  <c r="D21" i="5"/>
  <c r="E21" i="5" s="1"/>
  <c r="D22" i="5"/>
  <c r="E22" i="5" s="1"/>
  <c r="D5" i="5"/>
  <c r="E5" i="5" s="1"/>
  <c r="G6" i="3"/>
  <c r="H6" i="3" s="1"/>
  <c r="G7" i="3"/>
  <c r="I7" i="3" s="1"/>
  <c r="G8" i="3"/>
  <c r="I8" i="3" s="1"/>
  <c r="G9" i="3"/>
  <c r="H9" i="3" s="1"/>
  <c r="G10" i="3"/>
  <c r="H10" i="3" s="1"/>
  <c r="G11" i="3"/>
  <c r="I11" i="3" s="1"/>
  <c r="G12" i="3"/>
  <c r="H12" i="3" s="1"/>
  <c r="G13" i="3"/>
  <c r="H13" i="3" s="1"/>
  <c r="G14" i="3"/>
  <c r="H14" i="3" s="1"/>
  <c r="G15" i="3"/>
  <c r="H15" i="3" s="1"/>
  <c r="G16" i="3"/>
  <c r="I16" i="3" s="1"/>
  <c r="G17" i="3"/>
  <c r="H17" i="3" s="1"/>
  <c r="G18" i="3"/>
  <c r="I18" i="3" s="1"/>
  <c r="G19" i="3"/>
  <c r="I19" i="3" s="1"/>
  <c r="G20" i="3"/>
  <c r="H20" i="3" s="1"/>
  <c r="G21" i="3"/>
  <c r="H21" i="3" s="1"/>
  <c r="G22" i="3"/>
  <c r="H22" i="3"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F5" i="9"/>
  <c r="Y12" i="7"/>
  <c r="Y13" i="7"/>
  <c r="Y14" i="7"/>
  <c r="Y15" i="7"/>
  <c r="Y16" i="7"/>
  <c r="Y17" i="7"/>
  <c r="Y18" i="7"/>
  <c r="Y11" i="7"/>
  <c r="D5" i="4"/>
  <c r="E5" i="4" s="1"/>
  <c r="C2" i="4" s="1"/>
  <c r="G5" i="3"/>
  <c r="I5" i="3" s="1"/>
  <c r="F13" i="12" l="1"/>
  <c r="F17" i="12"/>
  <c r="G6" i="11"/>
  <c r="G9" i="11"/>
  <c r="I10" i="3"/>
  <c r="J10" i="3" s="1"/>
  <c r="H19" i="3"/>
  <c r="J19" i="3" s="1"/>
  <c r="H16" i="3"/>
  <c r="J16" i="3" s="1"/>
  <c r="H11" i="3"/>
  <c r="J11" i="3" s="1"/>
  <c r="H8" i="3"/>
  <c r="J8" i="3" s="1"/>
  <c r="I13" i="3"/>
  <c r="J13" i="3" s="1"/>
  <c r="I12" i="3"/>
  <c r="J12" i="3" s="1"/>
  <c r="I15" i="3"/>
  <c r="J15" i="3" s="1"/>
  <c r="I22" i="3"/>
  <c r="J22" i="3" s="1"/>
  <c r="I14" i="3"/>
  <c r="J14" i="3" s="1"/>
  <c r="I21" i="3"/>
  <c r="J21" i="3" s="1"/>
  <c r="I20" i="3"/>
  <c r="J20" i="3" s="1"/>
  <c r="H18" i="3"/>
  <c r="J18" i="3" s="1"/>
  <c r="I17" i="3"/>
  <c r="J17" i="3" s="1"/>
  <c r="I9" i="3"/>
  <c r="J9" i="3" s="1"/>
  <c r="H16" i="10"/>
  <c r="I16" i="10"/>
  <c r="F16" i="10"/>
  <c r="G16" i="10"/>
  <c r="G14" i="10"/>
  <c r="F14" i="10"/>
  <c r="H14" i="10"/>
  <c r="I14" i="10"/>
  <c r="F20" i="10"/>
  <c r="H20" i="10"/>
  <c r="I20" i="10"/>
  <c r="G20" i="10"/>
  <c r="F12" i="10"/>
  <c r="H12" i="10"/>
  <c r="G12" i="10"/>
  <c r="I12" i="10"/>
  <c r="H19" i="10"/>
  <c r="I19" i="10"/>
  <c r="G19" i="10"/>
  <c r="F19" i="10"/>
  <c r="G11" i="10"/>
  <c r="H11" i="10"/>
  <c r="F11" i="10"/>
  <c r="I11" i="10"/>
  <c r="F18" i="10"/>
  <c r="G18" i="10"/>
  <c r="H18" i="10"/>
  <c r="I18" i="10"/>
  <c r="G22" i="10"/>
  <c r="F22" i="10"/>
  <c r="H22" i="10"/>
  <c r="I22" i="10"/>
  <c r="F17" i="10"/>
  <c r="H17" i="10"/>
  <c r="G17" i="10"/>
  <c r="I17" i="10"/>
  <c r="F9" i="10"/>
  <c r="G9" i="10"/>
  <c r="H9" i="10"/>
  <c r="I9" i="10"/>
  <c r="I15" i="10"/>
  <c r="G15" i="10"/>
  <c r="F15" i="10"/>
  <c r="H15" i="10"/>
  <c r="H7" i="10"/>
  <c r="I7" i="10"/>
  <c r="F7" i="10"/>
  <c r="G7" i="10"/>
  <c r="F8" i="10"/>
  <c r="H8" i="10"/>
  <c r="G8" i="10"/>
  <c r="I8" i="10"/>
  <c r="F21" i="10"/>
  <c r="H21" i="10"/>
  <c r="I21" i="10"/>
  <c r="G21" i="10"/>
  <c r="F13" i="10"/>
  <c r="H13" i="10"/>
  <c r="G13" i="10"/>
  <c r="I13" i="10"/>
  <c r="I10" i="10"/>
  <c r="F10" i="10"/>
  <c r="H10" i="10"/>
  <c r="I6" i="10"/>
  <c r="H6" i="10"/>
  <c r="F6" i="10"/>
  <c r="H5" i="10"/>
  <c r="F5" i="10"/>
  <c r="G10" i="10"/>
  <c r="G5" i="10"/>
  <c r="H7" i="3"/>
  <c r="J7" i="3" s="1"/>
  <c r="G6" i="10"/>
  <c r="I6" i="3"/>
  <c r="J6" i="3" s="1"/>
  <c r="G22" i="11"/>
  <c r="G14" i="11"/>
  <c r="F7" i="12"/>
  <c r="G8" i="9"/>
  <c r="H8" i="9" s="1"/>
  <c r="G21" i="11"/>
  <c r="G13" i="11"/>
  <c r="F22" i="12"/>
  <c r="F12" i="12"/>
  <c r="F19" i="12"/>
  <c r="F11" i="12"/>
  <c r="G5" i="9"/>
  <c r="H5" i="9" s="1"/>
  <c r="D2" i="9" s="1"/>
  <c r="G9" i="2"/>
  <c r="G20" i="11"/>
  <c r="G12" i="11"/>
  <c r="F21" i="12"/>
  <c r="F10" i="12"/>
  <c r="G21" i="9"/>
  <c r="H21" i="9" s="1"/>
  <c r="G10" i="2"/>
  <c r="G19" i="11"/>
  <c r="G11" i="11"/>
  <c r="F20" i="12"/>
  <c r="F9" i="12"/>
  <c r="G18" i="11"/>
  <c r="G10" i="11"/>
  <c r="F18" i="12"/>
  <c r="F6" i="12"/>
  <c r="F16" i="12"/>
  <c r="F8" i="12"/>
  <c r="G17" i="11"/>
  <c r="F5" i="12"/>
  <c r="G5" i="11"/>
  <c r="G16" i="11"/>
  <c r="F15" i="12"/>
  <c r="F14" i="12"/>
  <c r="G6" i="9"/>
  <c r="H6" i="9" s="1"/>
  <c r="G17" i="2"/>
  <c r="G20" i="9"/>
  <c r="H20" i="9" s="1"/>
  <c r="G15" i="2"/>
  <c r="G7" i="2"/>
  <c r="G22" i="9"/>
  <c r="H22" i="9" s="1"/>
  <c r="G19" i="9"/>
  <c r="H19" i="9" s="1"/>
  <c r="G22" i="2"/>
  <c r="G14" i="2"/>
  <c r="G6" i="2"/>
  <c r="G8" i="2"/>
  <c r="G16" i="9"/>
  <c r="H16" i="9" s="1"/>
  <c r="G18" i="9"/>
  <c r="H18" i="9" s="1"/>
  <c r="G10" i="9"/>
  <c r="H10" i="9" s="1"/>
  <c r="G21" i="2"/>
  <c r="G13" i="2"/>
  <c r="G14" i="9"/>
  <c r="H14" i="9" s="1"/>
  <c r="G13" i="9"/>
  <c r="H13" i="9" s="1"/>
  <c r="G12" i="9"/>
  <c r="H12" i="9" s="1"/>
  <c r="G17" i="9"/>
  <c r="H17" i="9" s="1"/>
  <c r="G9" i="9"/>
  <c r="H9" i="9" s="1"/>
  <c r="G20" i="2"/>
  <c r="G12" i="2"/>
  <c r="G16" i="2"/>
  <c r="G11" i="9"/>
  <c r="H11" i="9" s="1"/>
  <c r="G19" i="2"/>
  <c r="G11" i="2"/>
  <c r="G15" i="9"/>
  <c r="H15" i="9" s="1"/>
  <c r="G7" i="9"/>
  <c r="H7" i="9" s="1"/>
  <c r="G18" i="2"/>
  <c r="H5" i="3"/>
  <c r="J5" i="3" s="1"/>
  <c r="C2" i="3" s="1"/>
  <c r="C2" i="10" l="1"/>
  <c r="A1" i="7" s="1"/>
  <c r="F13" i="22" l="1"/>
  <c r="F17" i="22" s="1"/>
  <c r="F8" i="22"/>
  <c r="F21" i="22"/>
</calcChain>
</file>

<file path=xl/sharedStrings.xml><?xml version="1.0" encoding="utf-8"?>
<sst xmlns="http://schemas.openxmlformats.org/spreadsheetml/2006/main" count="732" uniqueCount="247">
  <si>
    <t>Diameter</t>
  </si>
  <si>
    <t>Barrier Pipe</t>
  </si>
  <si>
    <t>Yorkshire Water</t>
  </si>
  <si>
    <t>Customer</t>
  </si>
  <si>
    <t>Road</t>
  </si>
  <si>
    <t>Footpath</t>
  </si>
  <si>
    <t>Unmade Ground</t>
  </si>
  <si>
    <t>Lookup Code</t>
  </si>
  <si>
    <t>63-125mm</t>
  </si>
  <si>
    <t>160-225mm</t>
  </si>
  <si>
    <t>250-400mm</t>
  </si>
  <si>
    <t>450-560mm</t>
  </si>
  <si>
    <t>BRANCH CONNECTIONS</t>
  </si>
  <si>
    <t>Cost</t>
  </si>
  <si>
    <t>Lookup code</t>
  </si>
  <si>
    <t>Metres</t>
  </si>
  <si>
    <t>Yes</t>
  </si>
  <si>
    <t>No</t>
  </si>
  <si>
    <t>Cost Per M</t>
  </si>
  <si>
    <t>Yorkshire WaterRoad63-125mmYes</t>
  </si>
  <si>
    <t>Yorkshire WaterRoad160-225mmYes</t>
  </si>
  <si>
    <t>Yorkshire WaterRoad250-400mmYes</t>
  </si>
  <si>
    <t>Yorkshire WaterRoad450-560mmYes</t>
  </si>
  <si>
    <t>Yorkshire WaterFootpath63-125mmYes</t>
  </si>
  <si>
    <t>Yorkshire WaterFootpath160-225mmYes</t>
  </si>
  <si>
    <t>Yorkshire WaterFootpath250-400mmYes</t>
  </si>
  <si>
    <t>Yorkshire WaterFootpath450-560mmYes</t>
  </si>
  <si>
    <t>Yorkshire WaterUnmade Ground63-125mmYes</t>
  </si>
  <si>
    <t>Yorkshire WaterUnmade Ground160-225mmYes</t>
  </si>
  <si>
    <t>Yorkshire WaterUnmade Ground250-400mmYes</t>
  </si>
  <si>
    <t>Yorkshire WaterUnmade Ground450-560mmYes</t>
  </si>
  <si>
    <t>CustomerRoad63-125mmYes</t>
  </si>
  <si>
    <t>CustomerRoad160-225mmYes</t>
  </si>
  <si>
    <t>CustomerRoad250-400mmYes</t>
  </si>
  <si>
    <t>CustomerRoad450-560mmYes</t>
  </si>
  <si>
    <t>CustomerFootpath63-125mmYes</t>
  </si>
  <si>
    <t>CustomerFootpath160-225mmYes</t>
  </si>
  <si>
    <t>CustomerFootpath250-400mmYes</t>
  </si>
  <si>
    <t>CustomerFootpath450-560mmYes</t>
  </si>
  <si>
    <t>CustomerUnmade Ground63-125mmYes</t>
  </si>
  <si>
    <t>CustomerUnmade Ground160-225mmYes</t>
  </si>
  <si>
    <t>CustomerUnmade Ground250-400mmYes</t>
  </si>
  <si>
    <t>CustomerUnmade Ground450-560mmYes</t>
  </si>
  <si>
    <t>Yorkshire WaterRoad63-125mmNo</t>
  </si>
  <si>
    <t>Yorkshire WaterRoad160-225mmNo</t>
  </si>
  <si>
    <t>Yorkshire WaterRoad250-400mmNo</t>
  </si>
  <si>
    <t>Yorkshire WaterRoad450-560mmNo</t>
  </si>
  <si>
    <t>Yorkshire WaterFootpath63-125mmNo</t>
  </si>
  <si>
    <t>Yorkshire WaterFootpath160-225mmNo</t>
  </si>
  <si>
    <t>Yorkshire WaterFootpath250-400mmNo</t>
  </si>
  <si>
    <t>Yorkshire WaterFootpath450-560mmNo</t>
  </si>
  <si>
    <t>Yorkshire WaterUnmade Ground63-125mmNo</t>
  </si>
  <si>
    <t>Yorkshire WaterUnmade Ground160-225mmNo</t>
  </si>
  <si>
    <t>Yorkshire WaterUnmade Ground250-400mmNo</t>
  </si>
  <si>
    <t>Yorkshire WaterUnmade Ground450-560mmNo</t>
  </si>
  <si>
    <t>CustomerRoad63-125mmNo</t>
  </si>
  <si>
    <t>CustomerRoad160-225mmNo</t>
  </si>
  <si>
    <t>CustomerRoad250-400mmNo</t>
  </si>
  <si>
    <t>CustomerRoad450-560mmNo</t>
  </si>
  <si>
    <t>CustomerFootpath63-125mmNo</t>
  </si>
  <si>
    <t>CustomerFootpath160-225mmNo</t>
  </si>
  <si>
    <t>CustomerFootpath250-400mmNo</t>
  </si>
  <si>
    <t>CustomerFootpath450-560mmNo</t>
  </si>
  <si>
    <t>CustomerUnmade Ground63-125mmNo</t>
  </si>
  <si>
    <t>CustomerUnmade Ground160-225mmNo</t>
  </si>
  <si>
    <t>CustomerUnmade Ground250-400mmNo</t>
  </si>
  <si>
    <t>CustomerUnmade Ground450-560mmNo</t>
  </si>
  <si>
    <t>Barrier Pipe Uplift</t>
  </si>
  <si>
    <t>Yorkshire WaterYes</t>
  </si>
  <si>
    <t>CustomerYes</t>
  </si>
  <si>
    <t>Yorkshire WaterNo</t>
  </si>
  <si>
    <t>CustomerNo</t>
  </si>
  <si>
    <t>PIECE THROUGHS</t>
  </si>
  <si>
    <t>Initial Cost</t>
  </si>
  <si>
    <t>Cost Per Fitting</t>
  </si>
  <si>
    <t>CHLORINATIONS</t>
  </si>
  <si>
    <t>MAINS LAYING</t>
  </si>
  <si>
    <t>Total Cost</t>
  </si>
  <si>
    <t>SubTotal</t>
  </si>
  <si>
    <t>Sub Total</t>
  </si>
  <si>
    <t>Subtotal</t>
  </si>
  <si>
    <t>NETWORK ASSEMBLY</t>
  </si>
  <si>
    <t>SLP</t>
  </si>
  <si>
    <t>NAV Scheme</t>
  </si>
  <si>
    <t>1-100</t>
  </si>
  <si>
    <t>101-200</t>
  </si>
  <si>
    <t>201+</t>
  </si>
  <si>
    <t>277 App Fee + 1380 Design Fee + 217 Call Off + 46 Fire Consultation</t>
  </si>
  <si>
    <t>50 NAV Admin + 445 BSA Fee + 217 Call Off + 46 Fire Consultation</t>
  </si>
  <si>
    <t>277 App Fee + 1740 Design Fee + 217 Call Off + 46 Fire Consultation</t>
  </si>
  <si>
    <t>277 App Fee + 2282 Design Fee + 217 Call Off + 46 Fire Consultation</t>
  </si>
  <si>
    <t>Total</t>
  </si>
  <si>
    <t>Call Off Fee</t>
  </si>
  <si>
    <t>Fire Consultation Fee</t>
  </si>
  <si>
    <t>Self Lay Legal Agreement Fee</t>
  </si>
  <si>
    <t>277 App Fee + 218 Design Fee + 217 Call Off + 46 Fire Consultation + 42 Self lay legal agreement fee</t>
  </si>
  <si>
    <t>277 App Fee + 1740 Design Fee + 217 Call Off + 46 Fire Consultation + 42 Self lay legal agreement fee</t>
  </si>
  <si>
    <t>277 App Fee + 2282 Design Fee + 217 Call Off + 46 Fire Consultation + 42 Self lay legal agreement fee</t>
  </si>
  <si>
    <t>Application Fee</t>
  </si>
  <si>
    <t>Design Fee</t>
  </si>
  <si>
    <t>Application &amp; Design Fee</t>
  </si>
  <si>
    <t>277 App Fee + 1380 Design Fee + 217 Call Off + 46 Fire Consultation + 42 Self lay legal agreement fee</t>
  </si>
  <si>
    <t>VLOOKUP Code</t>
  </si>
  <si>
    <t>Not Applicable</t>
  </si>
  <si>
    <t>Meter?</t>
  </si>
  <si>
    <t>25-32mm</t>
  </si>
  <si>
    <t>63-90mm</t>
  </si>
  <si>
    <t>110-125mm</t>
  </si>
  <si>
    <t>ADMIN AND DESIGN FEES</t>
  </si>
  <si>
    <t>Barrier</t>
  </si>
  <si>
    <t>Meter</t>
  </si>
  <si>
    <t>LOOKUP Code</t>
  </si>
  <si>
    <t>4 Way</t>
  </si>
  <si>
    <t>5 Way</t>
  </si>
  <si>
    <t>6 Way</t>
  </si>
  <si>
    <t>7 Way</t>
  </si>
  <si>
    <t>8 Way</t>
  </si>
  <si>
    <t>On site single service connections</t>
  </si>
  <si>
    <t>Manifolds</t>
  </si>
  <si>
    <t>Onsite manifolds</t>
  </si>
  <si>
    <t>15mm Manifold</t>
  </si>
  <si>
    <t>15mm In-Line</t>
  </si>
  <si>
    <t>20mm Manifold</t>
  </si>
  <si>
    <t>20mm In-Line</t>
  </si>
  <si>
    <t>25mm In-Line</t>
  </si>
  <si>
    <t>30mm In-Line</t>
  </si>
  <si>
    <t>40mm In-Line</t>
  </si>
  <si>
    <t>50mm In-Line</t>
  </si>
  <si>
    <t>80mm In-Line</t>
  </si>
  <si>
    <t>100mm In-Line</t>
  </si>
  <si>
    <t>Housing Unit</t>
  </si>
  <si>
    <t>Item</t>
  </si>
  <si>
    <t>Full Road Closure</t>
  </si>
  <si>
    <t>Lane Closure (up to and including 40mph)</t>
  </si>
  <si>
    <t>Lane Closure (over 40mph)</t>
  </si>
  <si>
    <t>Contraflow</t>
  </si>
  <si>
    <t>Narrow Lane</t>
  </si>
  <si>
    <t>2-way Traffic Lights</t>
  </si>
  <si>
    <t>3-way Traffic Lights</t>
  </si>
  <si>
    <t>4-way Traffic Lights</t>
  </si>
  <si>
    <t>Bagging Off Existing Traffic Lights</t>
  </si>
  <si>
    <t>Manual Control Of Traffic Lights (Peak Hours)</t>
  </si>
  <si>
    <t>Manual Control Of Traffic Lights / Stop-And-Go Signs (Off Peak Hours)</t>
  </si>
  <si>
    <t>Stop-And-Go Signs Set-Up, Removal, Hire And Maintenance</t>
  </si>
  <si>
    <t>Impact Protection Vehichle</t>
  </si>
  <si>
    <t>Change Of Traffic Lights Battery</t>
  </si>
  <si>
    <t>Temporary Pedestrian Crossing</t>
  </si>
  <si>
    <t>Meters</t>
  </si>
  <si>
    <t>Up To 5</t>
  </si>
  <si>
    <t>Additional Day</t>
  </si>
  <si>
    <t>Y</t>
  </si>
  <si>
    <t>N</t>
  </si>
  <si>
    <t>Up25?</t>
  </si>
  <si>
    <t>Volume</t>
  </si>
  <si>
    <t>Move/Reset Of Traffic Management Equipment</t>
  </si>
  <si>
    <t>Excavation By Customer</t>
  </si>
  <si>
    <t>Excavation By Yorkshire Water</t>
  </si>
  <si>
    <t>Ground Type</t>
  </si>
  <si>
    <t>Excavation Required Above 1.5 Cubic Meters</t>
  </si>
  <si>
    <t>Backfill &amp; Reinstatement Required In Squared Meters</t>
  </si>
  <si>
    <t>Disconnection</t>
  </si>
  <si>
    <t>Cap</t>
  </si>
  <si>
    <t>Under 150mm</t>
  </si>
  <si>
    <t>150mm to &lt;300mm</t>
  </si>
  <si>
    <t>300mm to &lt;450mm</t>
  </si>
  <si>
    <t>450mm to &lt;600mm</t>
  </si>
  <si>
    <t>Traffic Management</t>
  </si>
  <si>
    <t>Type</t>
  </si>
  <si>
    <t>EXC BY CUSTOMER</t>
  </si>
  <si>
    <t>LOOKUP</t>
  </si>
  <si>
    <t>Ground</t>
  </si>
  <si>
    <t>Code</t>
  </si>
  <si>
    <t>Excavation</t>
  </si>
  <si>
    <t>Backfill</t>
  </si>
  <si>
    <t>Days Required</t>
  </si>
  <si>
    <t>277 App Fee + 303 Design Checking Fee Fee + 217 Call Off + 42 Self lay legal agreement fee</t>
  </si>
  <si>
    <t>277 App Fee + 303 Design Checking Fee + 217 Call Off + 42 Self lay legal agreement fee</t>
  </si>
  <si>
    <t>277 App Fee + 242 Design Checking Fee + 217 Call Off + 42 Self lay legal agreement fee</t>
  </si>
  <si>
    <t>277 App Fee + 181 Design Checking Fee + 217 Call Off + 42 Self lay legal agreement fee</t>
  </si>
  <si>
    <t>Water Fitting*</t>
  </si>
  <si>
    <t>Shower</t>
  </si>
  <si>
    <t>Bidet</t>
  </si>
  <si>
    <t>Loading Units</t>
  </si>
  <si>
    <t>I have read and understood.</t>
  </si>
  <si>
    <t>Fire Consultation Fee (Including VAT at 20%)</t>
  </si>
  <si>
    <t xml:space="preserve">Please be aware that this is an estimate and does not constitute a formal quote. In order to receive a formal quote, you will need to submit an application. </t>
  </si>
  <si>
    <t xml:space="preserve">Please enter details for items required on a daily basis in the table to the left.
If you require an estimate for any of the items listed in the table to the right, please update the volume with the amount required. 
Please be aware that this is an estimate and does not constitute a formal quote. In order to receive a formal quote, you will need to submit an application. </t>
  </si>
  <si>
    <t>Annual Contestability Summary</t>
  </si>
  <si>
    <t>Design &amp; Construction Specifications</t>
  </si>
  <si>
    <t>Environmental Incentives &amp; Credits</t>
  </si>
  <si>
    <t>You can find our Design &amp; Construction Specifications here.</t>
  </si>
  <si>
    <t xml:space="preserve">You can find more information on infrastructure charges and environmental incentives here. </t>
  </si>
  <si>
    <r>
      <rPr>
        <b/>
        <sz val="11"/>
        <color theme="1"/>
        <rFont val="Poppins"/>
      </rPr>
      <t>Guidance Notes</t>
    </r>
    <r>
      <rPr>
        <sz val="9"/>
        <color theme="1"/>
        <rFont val="Poppins"/>
      </rPr>
      <t xml:space="preserve">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</si>
  <si>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Service connections for individual properties will always require a meter.
Large diameter service connections for blocks of flats will not require a meter if the flats are to be metered individually.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</si>
  <si>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Manifolds can be installed on 63-90mm connections only.
These costs include installation of external stop tap, manifold chamber and meters.
For manifolds used internally in blocks of flats, please instead complete the information on the Meters For Flats tab and add the appropriate number of housing units.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</si>
  <si>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Please enter any details for the service connection to the block of flats on the On-site Single Services tab. 
Each internal meter will require a housing unit - you can add the housing units and the meters on this tab. 
There is a £50 collection fee for each instance when you collect meters or housing units from us. 
There is a £336 delivery fee for each instance when we deliver meters or housing units to you.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</si>
  <si>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*"Fitting" includes any plumbing, outlet, dedicated space or other provision for that fitting.
**"Bath" includes a whirlpool bath or a jacuzzi.
***"Household Appliance" means an appliance (including a dishwasher, washing machine and waste disposal unit) in a house. 
****"Communal or Commercial Appliance" means an appliance (including a dishwasher, a washing machine and a waste disposal unit) elsewhere than ina a house (including in communal facilities).
</t>
    </r>
  </si>
  <si>
    <t>Useful Links</t>
  </si>
  <si>
    <t>How to use the calculator</t>
  </si>
  <si>
    <t>New Connections Charging Arrangements</t>
  </si>
  <si>
    <t>Calculate your own cost estimate</t>
  </si>
  <si>
    <t>I have not read and understood.</t>
  </si>
  <si>
    <r>
      <t xml:space="preserve">
This calculator has been designed to generate an estimate for work you require based on our 2023/2024 charges.
The charges in this calculator are fixed until 31st March 2024, when our annual charges will be updated. New charges will be published on our website.
</t>
    </r>
    <r>
      <rPr>
        <b/>
        <sz val="10"/>
        <color rgb="FFFF0000"/>
        <rFont val="Poppins"/>
      </rPr>
      <t xml:space="preserve">The cost estimate you can calculate is for </t>
    </r>
    <r>
      <rPr>
        <b/>
        <u/>
        <sz val="10"/>
        <color rgb="FFFF0000"/>
        <rFont val="Poppins"/>
      </rPr>
      <t>information purposes only</t>
    </r>
    <r>
      <rPr>
        <b/>
        <sz val="10"/>
        <color rgb="FFFF0000"/>
        <rFont val="Poppins"/>
      </rPr>
      <t xml:space="preserve">, and does not constitute a formal quote, or an offer capable of acceptance. </t>
    </r>
    <r>
      <rPr>
        <sz val="10"/>
        <rFont val="Poppins"/>
      </rPr>
      <t xml:space="preserve">
Please be aware that this calculator does not include VAT for construction work. Some of our services incur VAT while others are outside the scope of VAT. The rates at which VAT is applied depend on the service provided and the type of property concerned. These rates are subject to changes in VAT legislation and rates of VAT.
Please be aware that this calculator does not include an uplift for out of hours work. We charge an ‘out of hours’ working percentage increase (33.7%) for the increased labour costs incurred from working outside of normal working hours.
Please be aware that this calculator does not include the cost of traffic management or council fees. For jobs where we need to dig in the road, your formal quote will include the cost of any council fees (including permit fees, road closure fees and pay and display parking bay suspension fees) we need to pay for permission to carry out the roadworks. These fees are set by each local council, not Yorkshire Water. Please visit your local council’s website for more details on specific permit fees.
This calculator does not include the cost of any pre-existing mains or services that may require disconnecting or diverting. If there are any, this will be identified and included when we create your formal quote. 
If your project is complex or challenging, it may not be possible to quote you a fixed charge, and we may need to quote a bespoke charge instead. We would only charge a bespoke cost for special circumstances where we don’t have a published fixed charge in place. For more information on our charges for easements, feasibility studies and trial holes, please see pages 47-48 of our New Connections Charging Arrangements.</t>
    </r>
  </si>
  <si>
    <t>Please confirm that you have read and understood the above by selecting the acceptance statement below.</t>
  </si>
  <si>
    <r>
      <t xml:space="preserve">This calculator will give you an estimate for the work based on our 2023/2024 charges. These charges are fixed until 31st March 2024. To get a formal quote, you will need to make a full application. 
</t>
    </r>
    <r>
      <rPr>
        <b/>
        <sz val="9"/>
        <color theme="1"/>
        <rFont val="Poppins"/>
      </rPr>
      <t xml:space="preserve">Before using the calculator, please refer to the statements on the "Terms Of Use" tab, and use the drop down box to confirm that you have read and understood them. </t>
    </r>
    <r>
      <rPr>
        <sz val="9"/>
        <color theme="1"/>
        <rFont val="Poppins"/>
      </rPr>
      <t>You can then enter the details of the work you require Yorkshire Water to carry out on the appropriate tabs:
1. Application Fees
2. Branch Connections
3. Main Laying
4. Chlorinations For Self Laid Mains
5. Additional Phases (Piece Throughs)
6. On-site Service Connections
7. On-site Manifolds
8. Meters For Self Lay
9. Meters For Flats 
10. Network Assembly
11. Infrastructure Charges (Household Properties)
12. Infrastructure Charges (Non Household Properties)
Each tab will detail the cost of the work input, and the total cost will be displayed on the “Your Estimate” tab.
For more information on contestability, please see our Annual Contestability Summary on our website.
For more information on our design and construction specifications, please see our Design &amp; Construction Specification on our website.
For more information about our charges, please see our New Connection Charging Arrangements on our website. 
You can access these in the links below.</t>
    </r>
  </si>
  <si>
    <t>Your cost estimate</t>
  </si>
  <si>
    <t>Is an SLP laying mains on your scheme?</t>
  </si>
  <si>
    <t>Who is designing the scheme?</t>
  </si>
  <si>
    <t>How many properties?</t>
  </si>
  <si>
    <t>Self-Lay Legal Agreement Fee (Including VAT at 20%)</t>
  </si>
  <si>
    <t>Who is excavating?</t>
  </si>
  <si>
    <t>Road type</t>
  </si>
  <si>
    <t>Main diameter</t>
  </si>
  <si>
    <t>Barrier pipe?</t>
  </si>
  <si>
    <t>Barrier pipe</t>
  </si>
  <si>
    <r>
      <rPr>
        <b/>
        <sz val="11"/>
        <color theme="1"/>
        <rFont val="Poppins"/>
      </rPr>
      <t>Guidance Notes</t>
    </r>
    <r>
      <rPr>
        <sz val="9"/>
        <color theme="1"/>
        <rFont val="Poppins"/>
      </rPr>
      <t xml:space="preserve">
The cost of the first 2 metres of mains will be included in the cost of the branch connection. The cost of one valve and one washout is also included with each branch connection.
Please only enter the additional metres, above the first two, in the metres column on the Mains Laying tab.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</si>
  <si>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The cost of the first 2 metres of mains will be included in the cost of the branch connection. 
Please only enter the additional metres, above the first two, in the metres column on this tab. 
For example, if you are calculating the budget for one branch connection with 50 metres of main laying, you would only need to enter 48 metres on this tab.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</si>
  <si>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Please be aware that we only offer a chlorination for self-laid mains where the SLP does not have the relevant accreditation to chlorinate the mains themselves.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</si>
  <si>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The upfront cost comprises the application and design fees (or design checking fees) that are paid in advance in order for us to generate a formal quote for your works.
Any applicable fire consultation fees or self-lay legal agreement fees will be added to your quote. There is also a charge of £217+VAT for each-call off required on your scheme.
If you decide you do not want to proceed with your application after making it, the amount of the upfront fees that are refundable will depend on the amount of work we have carried out. 
We do not currently accept SLP designs for requisition schemes. 
For more details on our fees and charges, please see our New Connections Charging Arrangements using the link below.</t>
    </r>
  </si>
  <si>
    <t>Pipe diameter</t>
  </si>
  <si>
    <t>Number of connections</t>
  </si>
  <si>
    <t>Manifold type</t>
  </si>
  <si>
    <t>Number of manifolds</t>
  </si>
  <si>
    <t>Number of units</t>
  </si>
  <si>
    <t>Number of fittings</t>
  </si>
  <si>
    <r>
      <rPr>
        <b/>
        <sz val="11"/>
        <color theme="1"/>
        <rFont val="Poppins"/>
      </rPr>
      <t>Guidance Notes</t>
    </r>
    <r>
      <rPr>
        <sz val="9"/>
        <color theme="1"/>
        <rFont val="Poppins"/>
      </rPr>
      <t xml:space="preserve">
The cost of one valve and one washout is included with each branch connection. 
For more information, please refer to our Design &amp; Construction Specifications.
Please be aware that this is an estimate and does not constitute a formal quote. In order to receive a formal quote, you will need to submit an application. </t>
    </r>
  </si>
  <si>
    <t>Number of plots</t>
  </si>
  <si>
    <t>Applicable for clean infrastructure charges?</t>
  </si>
  <si>
    <t>Applicable for foul infrastructure charges?</t>
  </si>
  <si>
    <t>Applicable for surface water infrastructure charges?</t>
  </si>
  <si>
    <t>Number of loading units</t>
  </si>
  <si>
    <t>WC flushing cistern</t>
  </si>
  <si>
    <t>Wash basin in a house</t>
  </si>
  <si>
    <t>Wash basin elsewhere</t>
  </si>
  <si>
    <t>Bath** (nominal tap size 20mm)</t>
  </si>
  <si>
    <t>Bath** (Nominal tap size larger than 20mm)</t>
  </si>
  <si>
    <t>Sink (nominal tap size: 15mm)</t>
  </si>
  <si>
    <t>Sink (nominal tap size: larger than 15mm)</t>
  </si>
  <si>
    <t>Spray tap</t>
  </si>
  <si>
    <t>Household appliance*** (minimum of 6 loading units per house)</t>
  </si>
  <si>
    <t>Communal or commercial appliance****</t>
  </si>
  <si>
    <t>Any other water fitting or outlet*****</t>
  </si>
  <si>
    <r>
      <rPr>
        <b/>
        <sz val="11"/>
        <color theme="1"/>
        <rFont val="Poppins"/>
      </rPr>
      <t xml:space="preserve">Guidance Notes
</t>
    </r>
    <r>
      <rPr>
        <b/>
        <sz val="8"/>
        <color theme="1"/>
        <rFont val="Poppins"/>
      </rPr>
      <t xml:space="preserve">
</t>
    </r>
    <r>
      <rPr>
        <sz val="8"/>
        <color theme="1"/>
        <rFont val="Poppins"/>
      </rPr>
      <t xml:space="preserve">For concentric/screw-in meters, please select the Manifold Meter option.
Please be aware of the following costs involved in purchasing meters from Yorkshire Water:
There is a £50 charge payable for each bulk meter request form you send us to purchase meters.
There is a £50 charge payable for each submission of meter details you return to us following installation. This covers the cost of processing and reporting the meter details to Water UK.
There is a £50 collection fee for each instance when you collect meters from us. 
There is a £336 delivery fee for each instance when we deliver meters to you. 
Please be aware that this is an estimate and does not constitute a formal quote. In order to receive a formal quote, you will need to submit an application. </t>
    </r>
  </si>
  <si>
    <t>Upfront Cost 
(Including VAT at 20%)</t>
  </si>
  <si>
    <r>
      <rPr>
        <b/>
        <sz val="11"/>
        <color theme="1"/>
        <rFont val="Poppins"/>
      </rPr>
      <t xml:space="preserve">Guidance Notes
</t>
    </r>
    <r>
      <rPr>
        <sz val="9"/>
        <color theme="1"/>
        <rFont val="Poppins"/>
      </rPr>
      <t xml:space="preserve">This tab should only be used to calculate infrastructure charges for household properties. For non-household properties, please use tab 12.
Our infrastructure charges are set at the following rates until 31st March 2024:
Water: £96 per household property.
Foul water: £60 per household property.
Surface water: £150 per household property.
You may be eligible for a 20% discount on your clean and foul water infrastructure charges if your property is expected to use 110 litres of water per person per day or less. Surface water infrastructure charges are applicable when your property discharges surface water to the public sewer network.
Please be aware that this is an estimate and does not constitute a formal quote. In order to receive a formal quote, you will need to submit an application. </t>
    </r>
  </si>
  <si>
    <t>Litres per person per day</t>
  </si>
  <si>
    <r>
      <rPr>
        <b/>
        <sz val="11"/>
        <color theme="1"/>
        <rFont val="Poppins"/>
      </rPr>
      <t>Guidance Notes</t>
    </r>
    <r>
      <rPr>
        <sz val="9"/>
        <color theme="1"/>
        <rFont val="Poppins"/>
      </rPr>
      <t xml:space="preserve">
This tab should only be used to calculate infrastructure charges for non-household properties. For household properties, please use tab 11.
Water and foul water infrastructure charges for non-household properties are calculated using a formula that puts the expected water usage of the property in ratio to a typical household property. This is based on the number of loading units in the property.
For more information on how to calculate loading units, please refer to the Loading Units tab.
You may be eligible for a 20% discount on your clean and foul water infrastructure charges if your property is expected to use 110 litres of water per person per day or less. Surface water infrastructure charges are applicable when your property discharges surface water to the public sewer network.
Please be aware that this is an estimate and does not constitute a formal quote. In order to receive a formal quote, you will need to submit an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</si>
</sst>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sz val="11"/>
      <color theme="1"/>
      <name val="Poppins"/>
    </font>
    <font>
      <sz val="16"/>
      <color theme="1"/>
      <name val="Poppins"/>
    </font>
    <font>
      <sz val="8"/>
      <color theme="1"/>
      <name val="Poppins"/>
    </font>
    <font>
      <sz val="14"/>
      <color theme="1"/>
      <name val="Poppins"/>
    </font>
    <font>
      <b/>
      <sz val="11"/>
      <color theme="0"/>
      <name val="Poppins"/>
    </font>
    <font>
      <sz val="9"/>
      <color theme="1"/>
      <name val="Poppins"/>
    </font>
    <font>
      <sz val="10"/>
      <name val="Poppins"/>
    </font>
    <font>
      <b/>
      <sz val="12"/>
      <color theme="1"/>
      <name val="Poppins"/>
    </font>
    <font>
      <u/>
      <sz val="11"/>
      <color theme="10"/>
      <name val="Calibri"/>
      <family val="2"/>
      <scheme val="minor"/>
    </font>
    <font>
      <b/>
      <u/>
      <sz val="14"/>
      <color theme="10"/>
      <name val="Poppins"/>
    </font>
    <font>
      <b/>
      <sz val="11"/>
      <color theme="1"/>
      <name val="Poppins"/>
    </font>
    <font>
      <sz val="11"/>
      <color theme="0"/>
      <name val="Poppins"/>
    </font>
    <font>
      <b/>
      <u/>
      <sz val="11"/>
      <color theme="10"/>
      <name val="Poppins"/>
    </font>
    <font>
      <b/>
      <sz val="24"/>
      <color theme="0"/>
      <name val="Poppins"/>
    </font>
    <font>
      <b/>
      <sz val="20"/>
      <color theme="1"/>
      <name val="Poppins"/>
    </font>
    <font>
      <b/>
      <u/>
      <sz val="18"/>
      <color theme="4"/>
      <name val="Poppins"/>
    </font>
    <font>
      <b/>
      <sz val="14"/>
      <color rgb="FFFF0000"/>
      <name val="Poppins"/>
    </font>
    <font>
      <b/>
      <sz val="10"/>
      <color rgb="FFFF0000"/>
      <name val="Poppins"/>
    </font>
    <font>
      <b/>
      <u/>
      <sz val="10"/>
      <color rgb="FFFF0000"/>
      <name val="Poppins"/>
    </font>
    <font>
      <b/>
      <sz val="9"/>
      <color theme="1"/>
      <name val="Poppins"/>
    </font>
    <font>
      <b/>
      <sz val="12"/>
      <name val="Poppins"/>
    </font>
    <font>
      <b/>
      <sz val="12"/>
      <color rgb="FFFF0000"/>
      <name val="Poppins"/>
    </font>
    <font>
      <b/>
      <sz val="8"/>
      <color theme="1"/>
      <name val="Poppins"/>
    </font>
    <font>
      <b/>
      <sz val="16"/>
      <color theme="1"/>
      <name val="Poppins"/>
    </font>
  </fonts>
  <fills count="13">
    <fill>
      <patternFill patternType="none"/>
    </fill>
    <fill>
      <patternFill patternType="gray125"/>
    </fill>
    <fill>
      <patternFill patternType="solid">
        <fgColor theme="5" tint="0.79998168889431442"/>
        <bgColor indexed="64"/>
      </patternFill>
    </fill>
    <fill>
      <patternFill patternType="solid">
        <fgColor theme="3"/>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
      <patternFill patternType="solid">
        <fgColor theme="8"/>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ck">
        <color theme="4"/>
      </bottom>
      <diagonal/>
    </border>
    <border>
      <left style="thick">
        <color theme="7" tint="-0.499984740745262"/>
      </left>
      <right/>
      <top style="thick">
        <color theme="7" tint="-0.499984740745262"/>
      </top>
      <bottom/>
      <diagonal/>
    </border>
    <border>
      <left/>
      <right/>
      <top style="thick">
        <color theme="7" tint="-0.499984740745262"/>
      </top>
      <bottom/>
      <diagonal/>
    </border>
    <border>
      <left/>
      <right style="thick">
        <color theme="7" tint="-0.499984740745262"/>
      </right>
      <top style="thick">
        <color theme="7" tint="-0.499984740745262"/>
      </top>
      <bottom/>
      <diagonal/>
    </border>
    <border>
      <left style="thick">
        <color theme="7" tint="-0.499984740745262"/>
      </left>
      <right/>
      <top/>
      <bottom/>
      <diagonal/>
    </border>
    <border>
      <left/>
      <right style="thick">
        <color theme="7" tint="-0.499984740745262"/>
      </right>
      <top/>
      <bottom/>
      <diagonal/>
    </border>
    <border>
      <left style="thick">
        <color theme="7" tint="-0.499984740745262"/>
      </left>
      <right/>
      <top/>
      <bottom style="thick">
        <color theme="7" tint="-0.499984740745262"/>
      </bottom>
      <diagonal/>
    </border>
    <border>
      <left/>
      <right/>
      <top/>
      <bottom style="thick">
        <color theme="7" tint="-0.499984740745262"/>
      </bottom>
      <diagonal/>
    </border>
    <border>
      <left/>
      <right style="thick">
        <color theme="7" tint="-0.499984740745262"/>
      </right>
      <top/>
      <bottom style="thick">
        <color theme="7" tint="-0.499984740745262"/>
      </bottom>
      <diagonal/>
    </border>
    <border>
      <left/>
      <right/>
      <top style="thick">
        <color theme="4"/>
      </top>
      <bottom/>
      <diagonal/>
    </border>
    <border>
      <left style="thick">
        <color theme="4"/>
      </left>
      <right/>
      <top style="thick">
        <color theme="4"/>
      </top>
      <bottom/>
      <diagonal/>
    </border>
    <border>
      <left style="thick">
        <color theme="4"/>
      </left>
      <right/>
      <top/>
      <bottom/>
      <diagonal/>
    </border>
    <border>
      <left/>
      <right style="thick">
        <color theme="4"/>
      </right>
      <top style="thick">
        <color theme="4"/>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style="thick">
        <color theme="4"/>
      </top>
      <bottom style="thick">
        <color theme="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2">
    <xf numFmtId="0" fontId="0" fillId="0" borderId="0"/>
    <xf numFmtId="0" fontId="9" fillId="0" borderId="0" applyNumberFormat="0" applyFill="0" applyBorder="0" applyAlignment="0" applyProtection="0"/>
  </cellStyleXfs>
  <cellXfs count="203">
    <xf numFmtId="0" fontId="0" fillId="0" borderId="0" xfId="0"/>
    <xf numFmtId="0" fontId="1" fillId="2" borderId="1" xfId="0" applyFont="1" applyFill="1" applyBorder="1"/>
    <xf numFmtId="0" fontId="1" fillId="3" borderId="0" xfId="0" applyFont="1" applyFill="1"/>
    <xf numFmtId="0" fontId="1" fillId="2" borderId="1" xfId="0" applyFont="1" applyFill="1" applyBorder="1" applyProtection="1">
      <protection locked="0"/>
    </xf>
    <xf numFmtId="0" fontId="1" fillId="4" borderId="0" xfId="0" applyFont="1" applyFill="1"/>
    <xf numFmtId="0" fontId="1" fillId="4" borderId="0" xfId="0" applyFont="1" applyFill="1" applyAlignment="1">
      <alignment wrapText="1"/>
    </xf>
    <xf numFmtId="0" fontId="1" fillId="4" borderId="0" xfId="0" applyFont="1" applyFill="1" applyAlignment="1"/>
    <xf numFmtId="0" fontId="4" fillId="4" borderId="0" xfId="0" applyFont="1" applyFill="1" applyAlignment="1">
      <alignment wrapText="1"/>
    </xf>
    <xf numFmtId="0" fontId="0" fillId="0" borderId="0" xfId="0" applyAlignment="1"/>
    <xf numFmtId="164" fontId="0" fillId="0" borderId="0" xfId="0" applyNumberFormat="1"/>
    <xf numFmtId="0" fontId="0" fillId="6" borderId="0" xfId="0" applyFill="1"/>
    <xf numFmtId="0" fontId="1" fillId="6" borderId="0" xfId="0" applyFont="1" applyFill="1" applyAlignment="1"/>
    <xf numFmtId="164" fontId="1" fillId="6" borderId="0" xfId="0" applyNumberFormat="1" applyFont="1" applyFill="1" applyAlignment="1"/>
    <xf numFmtId="0" fontId="1" fillId="6" borderId="0" xfId="0" applyFont="1" applyFill="1"/>
    <xf numFmtId="0" fontId="1" fillId="6" borderId="1" xfId="0" applyFont="1" applyFill="1" applyBorder="1"/>
    <xf numFmtId="0" fontId="1" fillId="6" borderId="1" xfId="0" applyFont="1" applyFill="1" applyBorder="1" applyAlignment="1">
      <alignment vertical="center" wrapText="1"/>
    </xf>
    <xf numFmtId="0" fontId="1" fillId="6" borderId="0" xfId="0" applyFont="1" applyFill="1" applyAlignment="1">
      <alignment vertical="center" wrapText="1"/>
    </xf>
    <xf numFmtId="0" fontId="1" fillId="6" borderId="0" xfId="0" applyFont="1" applyFill="1" applyAlignment="1">
      <alignment horizontal="center" vertical="center" wrapText="1"/>
    </xf>
    <xf numFmtId="0" fontId="11" fillId="7" borderId="1" xfId="0" applyFont="1" applyFill="1" applyBorder="1" applyAlignment="1">
      <alignment horizontal="center" vertical="center" wrapText="1"/>
    </xf>
    <xf numFmtId="0" fontId="11" fillId="7" borderId="0" xfId="0" applyFont="1" applyFill="1" applyAlignment="1">
      <alignment horizontal="center" vertical="center" wrapText="1"/>
    </xf>
    <xf numFmtId="0" fontId="12" fillId="8" borderId="1" xfId="0" applyFont="1" applyFill="1" applyBorder="1" applyAlignment="1">
      <alignment vertical="center" wrapText="1"/>
    </xf>
    <xf numFmtId="0" fontId="1" fillId="6" borderId="0" xfId="0" applyFont="1" applyFill="1" applyAlignment="1">
      <alignment horizontal="center"/>
    </xf>
    <xf numFmtId="0" fontId="11" fillId="6" borderId="0" xfId="0" applyFont="1" applyFill="1" applyAlignment="1">
      <alignment horizontal="right" indent="1"/>
    </xf>
    <xf numFmtId="164" fontId="1" fillId="6" borderId="0" xfId="0" applyNumberFormat="1" applyFont="1" applyFill="1"/>
    <xf numFmtId="0" fontId="1" fillId="6" borderId="0" xfId="0" applyFont="1" applyFill="1" applyAlignment="1">
      <alignment horizontal="right" indent="1"/>
    </xf>
    <xf numFmtId="0" fontId="4" fillId="6" borderId="0" xfId="0" applyFont="1" applyFill="1" applyAlignment="1">
      <alignment wrapText="1"/>
    </xf>
    <xf numFmtId="0" fontId="12" fillId="8" borderId="1" xfId="0" applyFont="1" applyFill="1" applyBorder="1" applyAlignment="1">
      <alignment vertical="center"/>
    </xf>
    <xf numFmtId="0" fontId="11" fillId="7" borderId="1" xfId="0" applyFont="1" applyFill="1" applyBorder="1" applyAlignment="1">
      <alignment horizontal="center" vertical="center"/>
    </xf>
    <xf numFmtId="0" fontId="1" fillId="6" borderId="1" xfId="0" applyFont="1" applyFill="1" applyBorder="1" applyAlignment="1" applyProtection="1">
      <alignment vertical="center"/>
      <protection locked="0"/>
    </xf>
    <xf numFmtId="0" fontId="1" fillId="6" borderId="1" xfId="0" applyFont="1" applyFill="1" applyBorder="1" applyAlignment="1">
      <alignment vertical="center"/>
    </xf>
    <xf numFmtId="0" fontId="1" fillId="6" borderId="0" xfId="0" applyFont="1" applyFill="1" applyBorder="1"/>
    <xf numFmtId="164" fontId="1" fillId="6" borderId="0" xfId="0" applyNumberFormat="1" applyFont="1" applyFill="1" applyBorder="1"/>
    <xf numFmtId="0" fontId="11" fillId="6" borderId="0" xfId="0" applyFont="1" applyFill="1" applyBorder="1" applyAlignment="1">
      <alignment horizontal="right" indent="1"/>
    </xf>
    <xf numFmtId="164" fontId="1" fillId="2" borderId="1" xfId="0" applyNumberFormat="1" applyFont="1" applyFill="1" applyBorder="1" applyAlignment="1">
      <alignment horizontal="center" vertical="center"/>
    </xf>
    <xf numFmtId="164" fontId="1" fillId="2" borderId="1" xfId="0" applyNumberFormat="1" applyFont="1" applyFill="1" applyBorder="1" applyAlignment="1">
      <alignment vertical="center"/>
    </xf>
    <xf numFmtId="0" fontId="12" fillId="8" borderId="1" xfId="0" applyFont="1" applyFill="1" applyBorder="1" applyAlignment="1">
      <alignment horizontal="left" vertical="center"/>
    </xf>
    <xf numFmtId="0" fontId="1" fillId="6" borderId="1" xfId="0" applyFont="1" applyFill="1" applyBorder="1" applyAlignment="1" applyProtection="1">
      <alignment horizontal="left" vertical="center"/>
      <protection locked="0"/>
    </xf>
    <xf numFmtId="164" fontId="11" fillId="2" borderId="1" xfId="0" applyNumberFormat="1" applyFont="1" applyFill="1" applyBorder="1" applyAlignment="1">
      <alignment horizontal="center" vertical="center"/>
    </xf>
    <xf numFmtId="0" fontId="1" fillId="6" borderId="0" xfId="0" applyFont="1" applyFill="1" applyAlignment="1">
      <alignment vertical="center"/>
    </xf>
    <xf numFmtId="0" fontId="11" fillId="6" borderId="0" xfId="0" applyFont="1" applyFill="1" applyAlignment="1">
      <alignment horizontal="right" vertical="center" indent="1"/>
    </xf>
    <xf numFmtId="164" fontId="1" fillId="6" borderId="0" xfId="0" applyNumberFormat="1" applyFont="1" applyFill="1" applyAlignment="1">
      <alignment vertical="center"/>
    </xf>
    <xf numFmtId="0" fontId="4" fillId="6" borderId="0" xfId="0" applyFont="1" applyFill="1" applyAlignment="1">
      <alignment vertical="center" wrapText="1"/>
    </xf>
    <xf numFmtId="0" fontId="0" fillId="6" borderId="0" xfId="0" applyFill="1" applyAlignment="1">
      <alignment vertical="center"/>
    </xf>
    <xf numFmtId="164" fontId="1" fillId="6" borderId="0" xfId="0" applyNumberFormat="1" applyFont="1" applyFill="1" applyAlignment="1">
      <alignment vertical="center" wrapText="1"/>
    </xf>
    <xf numFmtId="0" fontId="11" fillId="6" borderId="0" xfId="0" applyFont="1" applyFill="1" applyAlignment="1">
      <alignment horizontal="right" vertical="center" wrapText="1" indent="1"/>
    </xf>
    <xf numFmtId="164" fontId="11" fillId="2" borderId="1" xfId="0" applyNumberFormat="1" applyFont="1" applyFill="1" applyBorder="1" applyAlignment="1">
      <alignment horizontal="center" vertical="center" wrapText="1"/>
    </xf>
    <xf numFmtId="0" fontId="12" fillId="8" borderId="1" xfId="0" applyFont="1" applyFill="1" applyBorder="1" applyAlignment="1">
      <alignment horizontal="left" vertical="center" wrapText="1"/>
    </xf>
    <xf numFmtId="0" fontId="1" fillId="6" borderId="1" xfId="0" applyFont="1" applyFill="1" applyBorder="1" applyAlignment="1" applyProtection="1">
      <alignment horizontal="left" vertical="center" wrapText="1"/>
      <protection locked="0"/>
    </xf>
    <xf numFmtId="0" fontId="0" fillId="0" borderId="0" xfId="0" applyFill="1" applyAlignment="1"/>
    <xf numFmtId="2" fontId="1" fillId="6" borderId="0" xfId="0" applyNumberFormat="1" applyFont="1" applyFill="1" applyAlignment="1">
      <alignment vertical="center" wrapText="1"/>
    </xf>
    <xf numFmtId="0" fontId="5" fillId="8" borderId="1"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11" borderId="1" xfId="0" applyFont="1" applyFill="1" applyBorder="1" applyAlignment="1">
      <alignment vertical="center"/>
    </xf>
    <xf numFmtId="0" fontId="1" fillId="11" borderId="1" xfId="0" applyFont="1" applyFill="1" applyBorder="1" applyAlignment="1">
      <alignment horizontal="center" vertical="center"/>
    </xf>
    <xf numFmtId="0" fontId="2" fillId="6" borderId="0" xfId="0" applyFont="1" applyFill="1" applyAlignment="1">
      <alignment wrapText="1"/>
    </xf>
    <xf numFmtId="0" fontId="0" fillId="6" borderId="0" xfId="0" applyFill="1" applyAlignment="1">
      <alignment horizontal="left" indent="1"/>
    </xf>
    <xf numFmtId="0" fontId="14" fillId="6" borderId="0" xfId="0" applyFont="1" applyFill="1" applyBorder="1" applyAlignment="1">
      <alignment wrapText="1"/>
    </xf>
    <xf numFmtId="0" fontId="1" fillId="6" borderId="0" xfId="0" applyFont="1" applyFill="1" applyBorder="1" applyAlignment="1">
      <alignment vertical="center" wrapText="1"/>
    </xf>
    <xf numFmtId="0" fontId="0" fillId="6" borderId="0" xfId="0" applyFill="1" applyBorder="1"/>
    <xf numFmtId="0" fontId="1" fillId="6" borderId="23" xfId="0" applyFont="1" applyFill="1" applyBorder="1" applyAlignment="1">
      <alignment vertical="center" wrapText="1"/>
    </xf>
    <xf numFmtId="0" fontId="0" fillId="6" borderId="23" xfId="0" applyFill="1" applyBorder="1"/>
    <xf numFmtId="0" fontId="1" fillId="6" borderId="21" xfId="0" applyFont="1" applyFill="1" applyBorder="1" applyAlignment="1">
      <alignment vertical="center" wrapText="1"/>
    </xf>
    <xf numFmtId="0" fontId="0" fillId="6" borderId="21" xfId="0" applyFill="1" applyBorder="1"/>
    <xf numFmtId="0" fontId="0" fillId="6" borderId="24" xfId="0" applyFill="1" applyBorder="1"/>
    <xf numFmtId="0" fontId="0" fillId="6" borderId="10" xfId="0" applyFill="1" applyBorder="1"/>
    <xf numFmtId="0" fontId="0" fillId="6" borderId="25" xfId="0" applyFill="1" applyBorder="1"/>
    <xf numFmtId="0" fontId="7" fillId="2" borderId="0" xfId="0" applyFont="1" applyFill="1" applyBorder="1" applyAlignment="1">
      <alignment vertical="top"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3" fillId="2" borderId="8" xfId="0" applyFont="1"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left" wrapText="1" indent="1"/>
    </xf>
    <xf numFmtId="0" fontId="0" fillId="2" borderId="0" xfId="0" applyFill="1" applyBorder="1"/>
    <xf numFmtId="0" fontId="0" fillId="2" borderId="9" xfId="0" applyFill="1" applyBorder="1"/>
    <xf numFmtId="0" fontId="0" fillId="2" borderId="8" xfId="0" applyFill="1" applyBorder="1"/>
    <xf numFmtId="0" fontId="0" fillId="2" borderId="0" xfId="0" applyFill="1" applyBorder="1" applyAlignment="1">
      <alignment horizontal="left" indent="1"/>
    </xf>
    <xf numFmtId="0" fontId="0" fillId="2" borderId="5" xfId="0" applyFill="1" applyBorder="1"/>
    <xf numFmtId="0" fontId="0" fillId="2" borderId="6" xfId="0" applyFill="1" applyBorder="1"/>
    <xf numFmtId="0" fontId="0" fillId="2" borderId="6" xfId="0" applyFill="1" applyBorder="1" applyAlignment="1">
      <alignment horizontal="left" indent="1"/>
    </xf>
    <xf numFmtId="0" fontId="0" fillId="2" borderId="7" xfId="0" applyFill="1" applyBorder="1"/>
    <xf numFmtId="0" fontId="17" fillId="6" borderId="10" xfId="0" applyFont="1" applyFill="1" applyBorder="1" applyAlignment="1">
      <alignment vertical="top" wrapText="1"/>
    </xf>
    <xf numFmtId="0" fontId="1" fillId="6" borderId="0" xfId="0" applyFont="1" applyFill="1" applyBorder="1" applyAlignment="1">
      <alignment horizontal="center" vertical="center" wrapText="1"/>
    </xf>
    <xf numFmtId="0" fontId="2" fillId="8" borderId="20" xfId="0" applyFont="1" applyFill="1" applyBorder="1" applyAlignment="1">
      <alignment horizontal="center" wrapText="1"/>
    </xf>
    <xf numFmtId="0" fontId="2" fillId="8" borderId="19" xfId="0" applyFont="1" applyFill="1" applyBorder="1" applyAlignment="1">
      <alignment horizontal="center" wrapText="1"/>
    </xf>
    <xf numFmtId="0" fontId="2" fillId="8" borderId="21" xfId="0" applyFont="1" applyFill="1" applyBorder="1" applyAlignment="1">
      <alignment horizontal="center" wrapText="1"/>
    </xf>
    <xf numFmtId="0" fontId="2" fillId="8" borderId="0" xfId="0" applyFont="1" applyFill="1" applyBorder="1" applyAlignment="1">
      <alignment horizontal="center" wrapText="1"/>
    </xf>
    <xf numFmtId="0" fontId="14" fillId="8" borderId="19" xfId="0" applyFont="1" applyFill="1" applyBorder="1" applyAlignment="1">
      <alignment horizontal="left" wrapText="1"/>
    </xf>
    <xf numFmtId="0" fontId="14" fillId="8" borderId="22" xfId="0" applyFont="1" applyFill="1" applyBorder="1" applyAlignment="1">
      <alignment horizontal="left" wrapText="1"/>
    </xf>
    <xf numFmtId="0" fontId="14" fillId="8" borderId="0" xfId="0" applyFont="1" applyFill="1" applyBorder="1" applyAlignment="1">
      <alignment horizontal="left" wrapText="1"/>
    </xf>
    <xf numFmtId="0" fontId="14" fillId="8" borderId="23" xfId="0" applyFont="1" applyFill="1" applyBorder="1" applyAlignment="1">
      <alignment horizontal="left" wrapText="1"/>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9" xfId="0" applyFont="1" applyFill="1" applyBorder="1" applyAlignment="1">
      <alignment horizontal="left" vertical="top" wrapText="1"/>
    </xf>
    <xf numFmtId="0" fontId="21" fillId="2" borderId="0" xfId="0" applyFont="1" applyFill="1" applyBorder="1" applyAlignment="1">
      <alignment horizontal="center" vertical="top" wrapText="1"/>
    </xf>
    <xf numFmtId="0" fontId="16" fillId="12" borderId="26" xfId="1" applyFont="1" applyFill="1" applyBorder="1" applyAlignment="1">
      <alignment horizontal="center" vertical="center"/>
    </xf>
    <xf numFmtId="0" fontId="15" fillId="6" borderId="0" xfId="0" applyFont="1" applyFill="1" applyBorder="1" applyAlignment="1">
      <alignment horizontal="left" vertical="center"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14" fillId="8" borderId="20" xfId="0" applyFont="1" applyFill="1" applyBorder="1" applyAlignment="1">
      <alignment horizontal="center" wrapText="1"/>
    </xf>
    <xf numFmtId="0" fontId="14" fillId="8" borderId="19" xfId="0" applyFont="1" applyFill="1" applyBorder="1" applyAlignment="1">
      <alignment horizontal="center" wrapText="1"/>
    </xf>
    <xf numFmtId="0" fontId="14" fillId="8" borderId="22" xfId="0" applyFont="1" applyFill="1" applyBorder="1" applyAlignment="1">
      <alignment horizontal="center" wrapText="1"/>
    </xf>
    <xf numFmtId="0" fontId="14" fillId="8" borderId="21" xfId="0" applyFont="1" applyFill="1" applyBorder="1" applyAlignment="1">
      <alignment horizontal="center" wrapText="1"/>
    </xf>
    <xf numFmtId="0" fontId="14" fillId="8" borderId="0" xfId="0" applyFont="1" applyFill="1" applyBorder="1" applyAlignment="1">
      <alignment horizontal="center" wrapText="1"/>
    </xf>
    <xf numFmtId="0" fontId="14" fillId="8" borderId="23" xfId="0" applyFont="1" applyFill="1" applyBorder="1" applyAlignment="1">
      <alignment horizontal="center" wrapText="1"/>
    </xf>
    <xf numFmtId="164" fontId="8" fillId="6" borderId="0" xfId="0" applyNumberFormat="1"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23" xfId="0" applyFont="1" applyFill="1" applyBorder="1" applyAlignment="1">
      <alignment horizontal="center" vertical="center" wrapText="1"/>
    </xf>
    <xf numFmtId="164" fontId="24" fillId="6" borderId="0" xfId="0" applyNumberFormat="1" applyFont="1" applyFill="1" applyBorder="1" applyAlignment="1">
      <alignment horizontal="center" vertical="center" wrapText="1"/>
    </xf>
    <xf numFmtId="0" fontId="22" fillId="6" borderId="0" xfId="0" applyFont="1" applyFill="1" applyBorder="1" applyAlignment="1">
      <alignment horizontal="center" vertical="top" wrapText="1"/>
    </xf>
    <xf numFmtId="164" fontId="1" fillId="10" borderId="0" xfId="0" applyNumberFormat="1" applyFont="1" applyFill="1" applyAlignment="1">
      <alignment horizontal="left" indent="1"/>
    </xf>
    <xf numFmtId="0" fontId="6" fillId="6" borderId="0" xfId="0" applyFont="1" applyFill="1" applyAlignment="1">
      <alignment horizontal="center" vertical="center" wrapText="1"/>
    </xf>
    <xf numFmtId="0" fontId="6" fillId="9" borderId="27" xfId="0" applyFont="1" applyFill="1" applyBorder="1" applyAlignment="1">
      <alignment horizontal="left" vertical="top" wrapText="1"/>
    </xf>
    <xf numFmtId="0" fontId="6" fillId="9" borderId="28" xfId="0" applyFont="1" applyFill="1" applyBorder="1" applyAlignment="1">
      <alignment horizontal="left" vertical="top" wrapText="1"/>
    </xf>
    <xf numFmtId="0" fontId="6" fillId="9" borderId="29" xfId="0" applyFont="1" applyFill="1" applyBorder="1" applyAlignment="1">
      <alignment horizontal="left" vertical="top" wrapText="1"/>
    </xf>
    <xf numFmtId="0" fontId="6" fillId="9" borderId="30" xfId="0" applyFont="1" applyFill="1" applyBorder="1" applyAlignment="1">
      <alignment horizontal="left" vertical="top" wrapText="1"/>
    </xf>
    <xf numFmtId="0" fontId="6" fillId="9" borderId="0" xfId="0" applyFont="1" applyFill="1" applyBorder="1" applyAlignment="1">
      <alignment horizontal="left" vertical="top" wrapText="1"/>
    </xf>
    <xf numFmtId="0" fontId="6" fillId="9" borderId="31" xfId="0" applyFont="1" applyFill="1" applyBorder="1" applyAlignment="1">
      <alignment horizontal="left" vertical="top" wrapText="1"/>
    </xf>
    <xf numFmtId="0" fontId="6" fillId="9" borderId="32" xfId="0" applyFont="1" applyFill="1" applyBorder="1" applyAlignment="1">
      <alignment horizontal="left" vertical="top" wrapText="1"/>
    </xf>
    <xf numFmtId="0" fontId="6" fillId="9" borderId="33" xfId="0" applyFont="1" applyFill="1" applyBorder="1" applyAlignment="1">
      <alignment horizontal="left" vertical="top" wrapText="1"/>
    </xf>
    <xf numFmtId="0" fontId="6" fillId="9" borderId="34" xfId="0" applyFont="1" applyFill="1" applyBorder="1" applyAlignment="1">
      <alignment horizontal="left" vertical="top" wrapText="1"/>
    </xf>
    <xf numFmtId="0" fontId="10" fillId="6" borderId="14" xfId="1" applyFont="1" applyFill="1" applyBorder="1" applyAlignment="1">
      <alignment horizontal="center" vertical="center" wrapText="1"/>
    </xf>
    <xf numFmtId="0" fontId="10" fillId="6" borderId="0" xfId="1" applyFont="1" applyFill="1" applyBorder="1" applyAlignment="1">
      <alignment horizontal="center" vertical="center" wrapText="1"/>
    </xf>
    <xf numFmtId="0" fontId="10" fillId="6" borderId="15" xfId="1" applyFont="1" applyFill="1" applyBorder="1" applyAlignment="1">
      <alignment horizontal="center" vertical="center" wrapText="1"/>
    </xf>
    <xf numFmtId="0" fontId="10" fillId="6" borderId="16" xfId="1" applyFont="1" applyFill="1" applyBorder="1" applyAlignment="1">
      <alignment horizontal="center" vertical="center" wrapText="1"/>
    </xf>
    <xf numFmtId="0" fontId="10" fillId="6" borderId="17" xfId="1" applyFont="1" applyFill="1" applyBorder="1" applyAlignment="1">
      <alignment horizontal="center" vertical="center" wrapText="1"/>
    </xf>
    <xf numFmtId="0" fontId="10" fillId="6" borderId="18" xfId="1" applyFont="1" applyFill="1" applyBorder="1" applyAlignment="1">
      <alignment horizontal="center" vertical="center" wrapText="1"/>
    </xf>
    <xf numFmtId="164" fontId="1" fillId="10" borderId="0" xfId="0" applyNumberFormat="1" applyFont="1" applyFill="1" applyAlignment="1">
      <alignment horizontal="left" indent="2"/>
    </xf>
    <xf numFmtId="0" fontId="6"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14" xfId="0"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5" xfId="0" applyFont="1" applyFill="1" applyBorder="1" applyAlignment="1">
      <alignment horizontal="left" vertical="top" wrapText="1"/>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164" fontId="1" fillId="10" borderId="0" xfId="0" applyNumberFormat="1" applyFont="1" applyFill="1" applyBorder="1" applyAlignment="1">
      <alignment horizontal="left" indent="2"/>
    </xf>
    <xf numFmtId="0" fontId="6" fillId="9" borderId="12" xfId="0" applyFont="1" applyFill="1" applyBorder="1" applyAlignment="1">
      <alignment horizontal="left" vertical="top"/>
    </xf>
    <xf numFmtId="0" fontId="6" fillId="9" borderId="13" xfId="0" applyFont="1" applyFill="1" applyBorder="1" applyAlignment="1">
      <alignment horizontal="left" vertical="top"/>
    </xf>
    <xf numFmtId="0" fontId="6" fillId="9" borderId="14" xfId="0" applyFont="1" applyFill="1" applyBorder="1" applyAlignment="1">
      <alignment horizontal="left" vertical="top"/>
    </xf>
    <xf numFmtId="0" fontId="6" fillId="9" borderId="0" xfId="0" applyFont="1" applyFill="1" applyBorder="1" applyAlignment="1">
      <alignment horizontal="left" vertical="top"/>
    </xf>
    <xf numFmtId="0" fontId="6" fillId="9" borderId="15" xfId="0" applyFont="1" applyFill="1" applyBorder="1" applyAlignment="1">
      <alignment horizontal="left" vertical="top"/>
    </xf>
    <xf numFmtId="0" fontId="6" fillId="9" borderId="16" xfId="0" applyFont="1" applyFill="1" applyBorder="1" applyAlignment="1">
      <alignment horizontal="left" vertical="top"/>
    </xf>
    <xf numFmtId="0" fontId="6" fillId="9" borderId="17" xfId="0" applyFont="1" applyFill="1" applyBorder="1" applyAlignment="1">
      <alignment horizontal="left" vertical="top"/>
    </xf>
    <xf numFmtId="0" fontId="6" fillId="9" borderId="18" xfId="0" applyFont="1" applyFill="1" applyBorder="1" applyAlignment="1">
      <alignment horizontal="left" vertical="top"/>
    </xf>
    <xf numFmtId="164" fontId="1" fillId="10" borderId="0" xfId="0" applyNumberFormat="1" applyFont="1" applyFill="1" applyAlignment="1">
      <alignment horizontal="left" vertical="center" indent="2"/>
    </xf>
    <xf numFmtId="0" fontId="4" fillId="5" borderId="0" xfId="0" applyFont="1" applyFill="1" applyAlignment="1">
      <alignment horizontal="center" wrapText="1"/>
    </xf>
    <xf numFmtId="0" fontId="10"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10" fillId="6" borderId="8" xfId="1" applyFont="1" applyFill="1" applyBorder="1" applyAlignment="1">
      <alignment horizontal="center" vertical="center" wrapText="1"/>
    </xf>
    <xf numFmtId="0" fontId="10" fillId="6" borderId="9" xfId="1" applyFont="1" applyFill="1" applyBorder="1" applyAlignment="1">
      <alignment horizontal="center" vertical="center" wrapText="1"/>
    </xf>
    <xf numFmtId="0" fontId="10" fillId="6" borderId="5"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6" borderId="27" xfId="1" applyFont="1" applyFill="1" applyBorder="1" applyAlignment="1">
      <alignment horizontal="center" vertical="center" wrapText="1"/>
    </xf>
    <xf numFmtId="0" fontId="10" fillId="6" borderId="28" xfId="1" applyFont="1" applyFill="1" applyBorder="1" applyAlignment="1">
      <alignment horizontal="center" vertical="center" wrapText="1"/>
    </xf>
    <xf numFmtId="0" fontId="10" fillId="6" borderId="29" xfId="1" applyFont="1" applyFill="1" applyBorder="1" applyAlignment="1">
      <alignment horizontal="center" vertical="center" wrapText="1"/>
    </xf>
    <xf numFmtId="0" fontId="10" fillId="6" borderId="30" xfId="1" applyFont="1" applyFill="1" applyBorder="1" applyAlignment="1">
      <alignment horizontal="center" vertical="center" wrapText="1"/>
    </xf>
    <xf numFmtId="0" fontId="10" fillId="6" borderId="31" xfId="1" applyFont="1" applyFill="1" applyBorder="1" applyAlignment="1">
      <alignment horizontal="center" vertical="center" wrapText="1"/>
    </xf>
    <xf numFmtId="0" fontId="10" fillId="6" borderId="32" xfId="1" applyFont="1" applyFill="1" applyBorder="1" applyAlignment="1">
      <alignment horizontal="center" vertical="center" wrapText="1"/>
    </xf>
    <xf numFmtId="0" fontId="10" fillId="6" borderId="33" xfId="1" applyFont="1" applyFill="1" applyBorder="1" applyAlignment="1">
      <alignment horizontal="center" vertical="center" wrapText="1"/>
    </xf>
    <xf numFmtId="0" fontId="10" fillId="6" borderId="34" xfId="1" applyFont="1" applyFill="1" applyBorder="1" applyAlignment="1">
      <alignment horizontal="center" vertical="center" wrapText="1"/>
    </xf>
    <xf numFmtId="0" fontId="1" fillId="2" borderId="1" xfId="0" applyFont="1" applyFill="1" applyBorder="1" applyAlignment="1">
      <alignment horizontal="center"/>
    </xf>
    <xf numFmtId="164" fontId="1" fillId="10" borderId="0" xfId="0" applyNumberFormat="1" applyFont="1" applyFill="1" applyAlignment="1">
      <alignment horizontal="left" vertical="center" wrapText="1" indent="2"/>
    </xf>
    <xf numFmtId="0" fontId="6" fillId="9" borderId="12" xfId="0" applyFont="1" applyFill="1" applyBorder="1" applyAlignment="1">
      <alignment horizontal="left" vertical="top" wrapText="1"/>
    </xf>
    <xf numFmtId="0" fontId="6" fillId="9" borderId="13" xfId="0" applyFont="1" applyFill="1" applyBorder="1" applyAlignment="1">
      <alignment horizontal="left" vertical="top" wrapText="1"/>
    </xf>
    <xf numFmtId="0" fontId="6" fillId="9" borderId="14" xfId="0" applyFont="1" applyFill="1" applyBorder="1" applyAlignment="1">
      <alignment horizontal="left" vertical="top" wrapText="1"/>
    </xf>
    <xf numFmtId="0" fontId="6" fillId="9" borderId="15" xfId="0" applyFont="1" applyFill="1" applyBorder="1" applyAlignment="1">
      <alignment horizontal="left" vertical="top" wrapText="1"/>
    </xf>
    <xf numFmtId="0" fontId="13" fillId="6" borderId="14" xfId="1" applyFont="1" applyFill="1" applyBorder="1" applyAlignment="1">
      <alignment horizontal="center" vertical="center" wrapText="1"/>
    </xf>
    <xf numFmtId="0" fontId="13" fillId="6" borderId="0" xfId="1" applyFont="1" applyFill="1" applyBorder="1" applyAlignment="1">
      <alignment horizontal="center" vertical="center" wrapText="1"/>
    </xf>
    <xf numFmtId="0" fontId="13" fillId="6" borderId="15" xfId="1" applyFont="1" applyFill="1" applyBorder="1" applyAlignment="1">
      <alignment horizontal="center" vertical="center" wrapText="1"/>
    </xf>
    <xf numFmtId="0" fontId="13" fillId="6" borderId="16" xfId="1" applyFont="1" applyFill="1" applyBorder="1" applyAlignment="1">
      <alignment horizontal="center" vertical="center" wrapText="1"/>
    </xf>
    <xf numFmtId="0" fontId="13" fillId="6" borderId="17" xfId="1" applyFont="1" applyFill="1" applyBorder="1" applyAlignment="1">
      <alignment horizontal="center" vertical="center" wrapText="1"/>
    </xf>
    <xf numFmtId="0" fontId="13" fillId="6" borderId="18" xfId="1" applyFont="1" applyFill="1" applyBorder="1" applyAlignment="1">
      <alignment horizontal="center" vertical="center" wrapText="1"/>
    </xf>
    <xf numFmtId="0" fontId="13" fillId="6" borderId="30" xfId="1" applyFont="1" applyFill="1" applyBorder="1" applyAlignment="1">
      <alignment horizontal="center" vertical="center" wrapText="1"/>
    </xf>
    <xf numFmtId="0" fontId="13" fillId="6" borderId="31" xfId="1" applyFont="1" applyFill="1" applyBorder="1" applyAlignment="1">
      <alignment horizontal="center" vertical="center" wrapText="1"/>
    </xf>
    <xf numFmtId="0" fontId="13" fillId="6" borderId="32" xfId="1" applyFont="1" applyFill="1" applyBorder="1" applyAlignment="1">
      <alignment horizontal="center" vertical="center" wrapText="1"/>
    </xf>
    <xf numFmtId="0" fontId="13" fillId="6" borderId="33" xfId="1" applyFont="1" applyFill="1" applyBorder="1" applyAlignment="1">
      <alignment horizontal="center" vertical="center" wrapText="1"/>
    </xf>
    <xf numFmtId="0" fontId="13" fillId="6" borderId="34" xfId="1"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cellXfs>
  <cellStyles count="2">
    <cellStyle name="Hyperlink" xfId="1" builtinId="8"/>
    <cellStyle name="Normal" xfId="0" builtinId="0"/>
  </cellStyles>
  <dxfs count="28">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ill>
        <patternFill>
          <bgColor theme="1"/>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1"/>
        </patternFill>
      </fill>
    </dxf>
    <dxf>
      <fill>
        <patternFill>
          <bgColor theme="1"/>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88900</xdr:colOff>
      <xdr:row>1</xdr:row>
      <xdr:rowOff>69850</xdr:rowOff>
    </xdr:from>
    <xdr:to>
      <xdr:col>5</xdr:col>
      <xdr:colOff>34412</xdr:colOff>
      <xdr:row>2</xdr:row>
      <xdr:rowOff>342900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200" y="254000"/>
          <a:ext cx="1139312" cy="654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1</xdr:row>
      <xdr:rowOff>69850</xdr:rowOff>
    </xdr:from>
    <xdr:to>
      <xdr:col>5</xdr:col>
      <xdr:colOff>72512</xdr:colOff>
      <xdr:row>2</xdr:row>
      <xdr:rowOff>342900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300" y="254000"/>
          <a:ext cx="1139312" cy="654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107950</xdr:colOff>
      <xdr:row>1</xdr:row>
      <xdr:rowOff>76200</xdr:rowOff>
    </xdr:from>
    <xdr:to>
      <xdr:col>2</xdr:col>
      <xdr:colOff>605912</xdr:colOff>
      <xdr:row>2</xdr:row>
      <xdr:rowOff>349250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9250" y="266700"/>
          <a:ext cx="1139312" cy="654050"/>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D3ECFA"/>
      </a:dk2>
      <a:lt2>
        <a:srgbClr val="3357F0"/>
      </a:lt2>
      <a:accent1>
        <a:srgbClr val="131D3F"/>
      </a:accent1>
      <a:accent2>
        <a:srgbClr val="6FB3CF"/>
      </a:accent2>
      <a:accent3>
        <a:srgbClr val="1F348C"/>
      </a:accent3>
      <a:accent4>
        <a:srgbClr val="EE6563"/>
      </a:accent4>
      <a:accent5>
        <a:srgbClr val="F0B444"/>
      </a:accent5>
      <a:accent6>
        <a:srgbClr val="69AA99"/>
      </a:accent6>
      <a:hlink>
        <a:srgbClr val="0563C1"/>
      </a:hlink>
      <a:folHlink>
        <a:srgbClr val="EE656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yorkshirewater.com/developers/water/self-lay/" TargetMode="External"/><Relationship Id="rId1" Type="http://schemas.openxmlformats.org/officeDocument/2006/relationships/hyperlink" Target="https://www.yorkshirewater.com/developer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yorkshirewater.com/developers/environmental-incentives-and-credit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yorkshirewater.com/developers/environmental-incentives-and-credit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yorkshirewater.com/developers/water/self-lay/" TargetMode="External"/><Relationship Id="rId2" Type="http://schemas.openxmlformats.org/officeDocument/2006/relationships/hyperlink" Target="https://www.yorkshirewater.com/developers/water/self-lay/" TargetMode="External"/><Relationship Id="rId1" Type="http://schemas.openxmlformats.org/officeDocument/2006/relationships/hyperlink" Target="https://www.yorkshirewater.com/developers/developer-services-charg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yorkshirewater.com/developers/environmental-incentives-and-credit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yorkshirewater.com/developers/developer-services-charg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EEB86-7861-493A-BABF-07697F4B79AD}">
  <sheetPr codeName="Sheet1">
    <tabColor theme="6"/>
  </sheetPr>
  <dimension ref="A1:AC44"/>
  <sheetViews>
    <sheetView showGridLines="0" showRowColHeaders="0" tabSelected="1" zoomScaleNormal="100" workbookViewId="0">
      <selection activeCell="F35" sqref="F35:X39"/>
    </sheetView>
  </sheetViews>
  <sheetFormatPr defaultColWidth="0" defaultRowHeight="14.5" zeroHeight="1" x14ac:dyDescent="0.35"/>
  <cols>
    <col min="1" max="1" width="3.453125" style="10" customWidth="1"/>
    <col min="2" max="19" width="4.26953125" style="10" customWidth="1"/>
    <col min="20" max="20" width="4.26953125" style="56" customWidth="1"/>
    <col min="21" max="28" width="4.26953125" style="10" customWidth="1"/>
    <col min="29" max="29" width="8.7265625" style="10" customWidth="1"/>
    <col min="30" max="16384" width="8.7265625" style="10" hidden="1"/>
  </cols>
  <sheetData>
    <row r="1" spans="1:28" ht="14.5" customHeight="1" thickBot="1" x14ac:dyDescent="1.3">
      <c r="A1" s="55"/>
      <c r="B1" s="55"/>
      <c r="C1" s="55"/>
      <c r="D1" s="55"/>
      <c r="E1" s="55"/>
    </row>
    <row r="2" spans="1:28" ht="30" customHeight="1" thickTop="1" x14ac:dyDescent="1.25">
      <c r="A2" s="55"/>
      <c r="B2" s="83"/>
      <c r="C2" s="84"/>
      <c r="D2" s="84"/>
      <c r="E2" s="84"/>
      <c r="F2" s="84"/>
      <c r="G2" s="87" t="s">
        <v>200</v>
      </c>
      <c r="H2" s="87"/>
      <c r="I2" s="87"/>
      <c r="J2" s="87"/>
      <c r="K2" s="87"/>
      <c r="L2" s="87"/>
      <c r="M2" s="87"/>
      <c r="N2" s="87"/>
      <c r="O2" s="87"/>
      <c r="P2" s="87"/>
      <c r="Q2" s="87"/>
      <c r="R2" s="87"/>
      <c r="S2" s="87"/>
      <c r="T2" s="87"/>
      <c r="U2" s="87"/>
      <c r="V2" s="87"/>
      <c r="W2" s="87"/>
      <c r="X2" s="87"/>
      <c r="Y2" s="87"/>
      <c r="Z2" s="87"/>
      <c r="AA2" s="87"/>
      <c r="AB2" s="88"/>
    </row>
    <row r="3" spans="1:28" ht="30" customHeight="1" thickBot="1" x14ac:dyDescent="1.3">
      <c r="A3" s="55"/>
      <c r="B3" s="85"/>
      <c r="C3" s="86"/>
      <c r="D3" s="86"/>
      <c r="E3" s="86"/>
      <c r="F3" s="86"/>
      <c r="G3" s="89"/>
      <c r="H3" s="89"/>
      <c r="I3" s="89"/>
      <c r="J3" s="89"/>
      <c r="K3" s="89"/>
      <c r="L3" s="89"/>
      <c r="M3" s="89"/>
      <c r="N3" s="89"/>
      <c r="O3" s="89"/>
      <c r="P3" s="89"/>
      <c r="Q3" s="89"/>
      <c r="R3" s="89"/>
      <c r="S3" s="89"/>
      <c r="T3" s="89"/>
      <c r="U3" s="89"/>
      <c r="V3" s="89"/>
      <c r="W3" s="89"/>
      <c r="X3" s="89"/>
      <c r="Y3" s="89"/>
      <c r="Z3" s="89"/>
      <c r="AA3" s="89"/>
      <c r="AB3" s="90"/>
    </row>
    <row r="4" spans="1:28" ht="20.149999999999999" customHeight="1" x14ac:dyDescent="1.25">
      <c r="A4" s="55"/>
      <c r="B4" s="100" t="s">
        <v>202</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2"/>
    </row>
    <row r="5" spans="1:28" ht="20.149999999999999" customHeight="1" x14ac:dyDescent="1.25">
      <c r="A5" s="55"/>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5"/>
    </row>
    <row r="6" spans="1:28" ht="20.149999999999999" customHeight="1" x14ac:dyDescent="1.25">
      <c r="A6" s="55"/>
      <c r="B6" s="103"/>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5"/>
    </row>
    <row r="7" spans="1:28" ht="20.149999999999999" customHeight="1" x14ac:dyDescent="1.25">
      <c r="A7" s="55"/>
      <c r="B7" s="103"/>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5"/>
    </row>
    <row r="8" spans="1:28" ht="20.149999999999999" customHeight="1" x14ac:dyDescent="1.25">
      <c r="A8" s="55"/>
      <c r="B8" s="103"/>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5"/>
    </row>
    <row r="9" spans="1:28" ht="20.149999999999999" customHeight="1" x14ac:dyDescent="1.25">
      <c r="A9" s="55"/>
      <c r="B9" s="103"/>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5"/>
    </row>
    <row r="10" spans="1:28" ht="20.149999999999999" customHeight="1" x14ac:dyDescent="1.25">
      <c r="A10" s="55"/>
      <c r="B10" s="10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5"/>
    </row>
    <row r="11" spans="1:28" ht="20.149999999999999" customHeight="1" x14ac:dyDescent="1.25">
      <c r="A11" s="55"/>
      <c r="B11" s="103"/>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5"/>
    </row>
    <row r="12" spans="1:28" ht="20.149999999999999" customHeight="1" x14ac:dyDescent="1.25">
      <c r="A12" s="55"/>
      <c r="B12" s="103"/>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5"/>
    </row>
    <row r="13" spans="1:28" ht="20.149999999999999" customHeight="1" x14ac:dyDescent="1.25">
      <c r="A13" s="55"/>
      <c r="B13" s="103"/>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5"/>
    </row>
    <row r="14" spans="1:28" ht="20.149999999999999" customHeight="1" x14ac:dyDescent="1.25">
      <c r="A14" s="55"/>
      <c r="B14" s="103"/>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5"/>
    </row>
    <row r="15" spans="1:28" ht="20.149999999999999" customHeight="1" x14ac:dyDescent="1.25">
      <c r="A15" s="55"/>
      <c r="B15" s="103"/>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5"/>
    </row>
    <row r="16" spans="1:28" ht="20.149999999999999" customHeight="1" x14ac:dyDescent="1.25">
      <c r="A16" s="55"/>
      <c r="B16" s="103"/>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5"/>
    </row>
    <row r="17" spans="1:28" ht="20.149999999999999" customHeight="1" x14ac:dyDescent="1.25">
      <c r="A17" s="55"/>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5"/>
    </row>
    <row r="18" spans="1:28" ht="20.149999999999999" customHeight="1" x14ac:dyDescent="1.25">
      <c r="A18" s="55"/>
      <c r="B18" s="10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5"/>
    </row>
    <row r="19" spans="1:28" ht="20.149999999999999" customHeight="1" x14ac:dyDescent="1.25">
      <c r="A19" s="55"/>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5"/>
    </row>
    <row r="20" spans="1:28" ht="20.149999999999999" customHeight="1" x14ac:dyDescent="1.25">
      <c r="A20" s="55"/>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5"/>
    </row>
    <row r="21" spans="1:28" ht="20.149999999999999" customHeight="1" x14ac:dyDescent="1.25">
      <c r="A21" s="55"/>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5"/>
    </row>
    <row r="22" spans="1:28" ht="20.149999999999999" customHeight="1" x14ac:dyDescent="1.25">
      <c r="A22" s="55"/>
      <c r="B22" s="103"/>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5"/>
    </row>
    <row r="23" spans="1:28" ht="20.149999999999999" customHeight="1" x14ac:dyDescent="0.35">
      <c r="B23" s="103"/>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5"/>
    </row>
    <row r="24" spans="1:28" ht="20.149999999999999" customHeight="1" x14ac:dyDescent="0.35">
      <c r="B24" s="103"/>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5"/>
    </row>
    <row r="25" spans="1:28" ht="20.149999999999999" customHeight="1" x14ac:dyDescent="0.35">
      <c r="B25" s="103"/>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5"/>
    </row>
    <row r="26" spans="1:28" ht="20.149999999999999" customHeight="1" x14ac:dyDescent="0.35">
      <c r="B26" s="103"/>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5"/>
    </row>
    <row r="27" spans="1:28" ht="20.149999999999999" customHeight="1" x14ac:dyDescent="0.35">
      <c r="B27" s="103"/>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5"/>
    </row>
    <row r="28" spans="1:28" ht="20.149999999999999" customHeight="1" x14ac:dyDescent="0.35">
      <c r="B28" s="103"/>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5"/>
    </row>
    <row r="29" spans="1:28" ht="20.149999999999999" customHeight="1" x14ac:dyDescent="0.35">
      <c r="B29" s="103"/>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5"/>
    </row>
    <row r="30" spans="1:28" ht="20.149999999999999" customHeight="1" x14ac:dyDescent="0.3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5"/>
    </row>
    <row r="31" spans="1:28" ht="20.149999999999999" customHeight="1" x14ac:dyDescent="0.35">
      <c r="B31" s="103"/>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5"/>
    </row>
    <row r="32" spans="1:28" ht="20.149999999999999" customHeight="1" x14ac:dyDescent="0.35">
      <c r="B32" s="68"/>
      <c r="C32" s="67"/>
      <c r="D32" s="67"/>
      <c r="E32" s="67"/>
      <c r="F32" s="106" t="s">
        <v>203</v>
      </c>
      <c r="G32" s="106"/>
      <c r="H32" s="106"/>
      <c r="I32" s="106"/>
      <c r="J32" s="106"/>
      <c r="K32" s="106"/>
      <c r="L32" s="106"/>
      <c r="M32" s="106"/>
      <c r="N32" s="106"/>
      <c r="O32" s="106"/>
      <c r="P32" s="106"/>
      <c r="Q32" s="106"/>
      <c r="R32" s="106"/>
      <c r="S32" s="106"/>
      <c r="T32" s="106"/>
      <c r="U32" s="106"/>
      <c r="V32" s="106"/>
      <c r="W32" s="106"/>
      <c r="X32" s="106"/>
      <c r="Y32" s="67"/>
      <c r="Z32" s="67"/>
      <c r="AA32" s="67"/>
      <c r="AB32" s="69"/>
    </row>
    <row r="33" spans="2:28" ht="20.149999999999999" customHeight="1" x14ac:dyDescent="0.35">
      <c r="B33" s="68"/>
      <c r="C33" s="67"/>
      <c r="D33" s="67"/>
      <c r="E33" s="67"/>
      <c r="F33" s="106"/>
      <c r="G33" s="106"/>
      <c r="H33" s="106"/>
      <c r="I33" s="106"/>
      <c r="J33" s="106"/>
      <c r="K33" s="106"/>
      <c r="L33" s="106"/>
      <c r="M33" s="106"/>
      <c r="N33" s="106"/>
      <c r="O33" s="106"/>
      <c r="P33" s="106"/>
      <c r="Q33" s="106"/>
      <c r="R33" s="106"/>
      <c r="S33" s="106"/>
      <c r="T33" s="106"/>
      <c r="U33" s="106"/>
      <c r="V33" s="106"/>
      <c r="W33" s="106"/>
      <c r="X33" s="106"/>
      <c r="Y33" s="67"/>
      <c r="Z33" s="67"/>
      <c r="AA33" s="67"/>
      <c r="AB33" s="69"/>
    </row>
    <row r="34" spans="2:28" ht="14.5" customHeight="1" thickBot="1" x14ac:dyDescent="0.7">
      <c r="B34" s="70"/>
      <c r="C34" s="71"/>
      <c r="D34" s="71"/>
      <c r="E34" s="71"/>
      <c r="F34" s="71"/>
      <c r="G34" s="71"/>
      <c r="H34" s="71"/>
      <c r="I34" s="71"/>
      <c r="J34" s="71"/>
      <c r="K34" s="71"/>
      <c r="L34" s="71"/>
      <c r="M34" s="71"/>
      <c r="N34" s="71"/>
      <c r="O34" s="71"/>
      <c r="P34" s="71"/>
      <c r="Q34" s="71"/>
      <c r="R34" s="71"/>
      <c r="S34" s="71"/>
      <c r="T34" s="72"/>
      <c r="U34" s="71"/>
      <c r="V34" s="71"/>
      <c r="W34" s="71"/>
      <c r="X34" s="71"/>
      <c r="Y34" s="73"/>
      <c r="Z34" s="73"/>
      <c r="AA34" s="73"/>
      <c r="AB34" s="74"/>
    </row>
    <row r="35" spans="2:28" ht="14.5" customHeight="1" x14ac:dyDescent="0.65">
      <c r="B35" s="70"/>
      <c r="C35" s="71"/>
      <c r="D35" s="71"/>
      <c r="E35" s="71"/>
      <c r="F35" s="91" t="s">
        <v>201</v>
      </c>
      <c r="G35" s="92"/>
      <c r="H35" s="92"/>
      <c r="I35" s="92"/>
      <c r="J35" s="92"/>
      <c r="K35" s="92"/>
      <c r="L35" s="92"/>
      <c r="M35" s="92"/>
      <c r="N35" s="92"/>
      <c r="O35" s="92"/>
      <c r="P35" s="92"/>
      <c r="Q35" s="92"/>
      <c r="R35" s="92"/>
      <c r="S35" s="92"/>
      <c r="T35" s="92"/>
      <c r="U35" s="92"/>
      <c r="V35" s="92"/>
      <c r="W35" s="92"/>
      <c r="X35" s="93"/>
      <c r="Y35" s="73"/>
      <c r="Z35" s="73"/>
      <c r="AA35" s="73"/>
      <c r="AB35" s="74"/>
    </row>
    <row r="36" spans="2:28" ht="14.5" customHeight="1" x14ac:dyDescent="0.65">
      <c r="B36" s="70"/>
      <c r="C36" s="71"/>
      <c r="D36" s="71"/>
      <c r="E36" s="71"/>
      <c r="F36" s="94"/>
      <c r="G36" s="95"/>
      <c r="H36" s="95"/>
      <c r="I36" s="95"/>
      <c r="J36" s="95"/>
      <c r="K36" s="95"/>
      <c r="L36" s="95"/>
      <c r="M36" s="95"/>
      <c r="N36" s="95"/>
      <c r="O36" s="95"/>
      <c r="P36" s="95"/>
      <c r="Q36" s="95"/>
      <c r="R36" s="95"/>
      <c r="S36" s="95"/>
      <c r="T36" s="95"/>
      <c r="U36" s="95"/>
      <c r="V36" s="95"/>
      <c r="W36" s="95"/>
      <c r="X36" s="96"/>
      <c r="Y36" s="73"/>
      <c r="Z36" s="73"/>
      <c r="AA36" s="73"/>
      <c r="AB36" s="74"/>
    </row>
    <row r="37" spans="2:28" ht="14.5" customHeight="1" x14ac:dyDescent="0.65">
      <c r="B37" s="70"/>
      <c r="C37" s="71"/>
      <c r="D37" s="71"/>
      <c r="E37" s="71"/>
      <c r="F37" s="94"/>
      <c r="G37" s="95"/>
      <c r="H37" s="95"/>
      <c r="I37" s="95"/>
      <c r="J37" s="95"/>
      <c r="K37" s="95"/>
      <c r="L37" s="95"/>
      <c r="M37" s="95"/>
      <c r="N37" s="95"/>
      <c r="O37" s="95"/>
      <c r="P37" s="95"/>
      <c r="Q37" s="95"/>
      <c r="R37" s="95"/>
      <c r="S37" s="95"/>
      <c r="T37" s="95"/>
      <c r="U37" s="95"/>
      <c r="V37" s="95"/>
      <c r="W37" s="95"/>
      <c r="X37" s="96"/>
      <c r="Y37" s="73"/>
      <c r="Z37" s="73"/>
      <c r="AA37" s="73"/>
      <c r="AB37" s="74"/>
    </row>
    <row r="38" spans="2:28" ht="14.5" customHeight="1" x14ac:dyDescent="0.65">
      <c r="B38" s="70"/>
      <c r="C38" s="71"/>
      <c r="D38" s="71"/>
      <c r="E38" s="71"/>
      <c r="F38" s="94"/>
      <c r="G38" s="95"/>
      <c r="H38" s="95"/>
      <c r="I38" s="95"/>
      <c r="J38" s="95"/>
      <c r="K38" s="95"/>
      <c r="L38" s="95"/>
      <c r="M38" s="95"/>
      <c r="N38" s="95"/>
      <c r="O38" s="95"/>
      <c r="P38" s="95"/>
      <c r="Q38" s="95"/>
      <c r="R38" s="95"/>
      <c r="S38" s="95"/>
      <c r="T38" s="95"/>
      <c r="U38" s="95"/>
      <c r="V38" s="95"/>
      <c r="W38" s="95"/>
      <c r="X38" s="96"/>
      <c r="Y38" s="73"/>
      <c r="Z38" s="73"/>
      <c r="AA38" s="73"/>
      <c r="AB38" s="74"/>
    </row>
    <row r="39" spans="2:28" ht="14.5" customHeight="1" thickBot="1" x14ac:dyDescent="0.7">
      <c r="B39" s="70"/>
      <c r="C39" s="71"/>
      <c r="D39" s="71"/>
      <c r="E39" s="71"/>
      <c r="F39" s="97"/>
      <c r="G39" s="98"/>
      <c r="H39" s="98"/>
      <c r="I39" s="98"/>
      <c r="J39" s="98"/>
      <c r="K39" s="98"/>
      <c r="L39" s="98"/>
      <c r="M39" s="98"/>
      <c r="N39" s="98"/>
      <c r="O39" s="98"/>
      <c r="P39" s="98"/>
      <c r="Q39" s="98"/>
      <c r="R39" s="98"/>
      <c r="S39" s="98"/>
      <c r="T39" s="98"/>
      <c r="U39" s="98"/>
      <c r="V39" s="98"/>
      <c r="W39" s="98"/>
      <c r="X39" s="99"/>
      <c r="Y39" s="73"/>
      <c r="Z39" s="73"/>
      <c r="AA39" s="73"/>
      <c r="AB39" s="74"/>
    </row>
    <row r="40" spans="2:28" x14ac:dyDescent="0.35">
      <c r="B40" s="75"/>
      <c r="C40" s="73"/>
      <c r="D40" s="73"/>
      <c r="E40" s="73"/>
      <c r="F40" s="73"/>
      <c r="G40" s="73"/>
      <c r="H40" s="73"/>
      <c r="I40" s="73"/>
      <c r="J40" s="73"/>
      <c r="K40" s="73"/>
      <c r="L40" s="73"/>
      <c r="M40" s="73"/>
      <c r="N40" s="73"/>
      <c r="O40" s="73"/>
      <c r="P40" s="73"/>
      <c r="Q40" s="73"/>
      <c r="R40" s="73"/>
      <c r="S40" s="73"/>
      <c r="T40" s="76"/>
      <c r="U40" s="73"/>
      <c r="V40" s="73"/>
      <c r="W40" s="73"/>
      <c r="X40" s="73"/>
      <c r="Y40" s="73"/>
      <c r="Z40" s="73"/>
      <c r="AA40" s="73"/>
      <c r="AB40" s="74"/>
    </row>
    <row r="41" spans="2:28" x14ac:dyDescent="0.35">
      <c r="B41" s="75"/>
      <c r="C41" s="73"/>
      <c r="D41" s="73"/>
      <c r="E41" s="73"/>
      <c r="F41" s="73"/>
      <c r="G41" s="73"/>
      <c r="H41" s="73"/>
      <c r="I41" s="73"/>
      <c r="J41" s="73"/>
      <c r="K41" s="73"/>
      <c r="L41" s="73"/>
      <c r="M41" s="73"/>
      <c r="N41" s="73"/>
      <c r="O41" s="73"/>
      <c r="P41" s="73"/>
      <c r="Q41" s="73"/>
      <c r="R41" s="73"/>
      <c r="S41" s="73"/>
      <c r="T41" s="76"/>
      <c r="U41" s="73"/>
      <c r="V41" s="73"/>
      <c r="W41" s="73"/>
      <c r="X41" s="73"/>
      <c r="Y41" s="73"/>
      <c r="Z41" s="73"/>
      <c r="AA41" s="73"/>
      <c r="AB41" s="74"/>
    </row>
    <row r="42" spans="2:28" x14ac:dyDescent="0.35">
      <c r="B42" s="75"/>
      <c r="C42" s="73"/>
      <c r="D42" s="73"/>
      <c r="E42" s="73"/>
      <c r="F42" s="73"/>
      <c r="G42" s="73"/>
      <c r="H42" s="73"/>
      <c r="I42" s="73"/>
      <c r="J42" s="73"/>
      <c r="K42" s="73"/>
      <c r="L42" s="73"/>
      <c r="M42" s="73"/>
      <c r="N42" s="73"/>
      <c r="O42" s="73"/>
      <c r="P42" s="73"/>
      <c r="Q42" s="73"/>
      <c r="R42" s="73"/>
      <c r="S42" s="73"/>
      <c r="T42" s="76"/>
      <c r="U42" s="73"/>
      <c r="V42" s="73"/>
      <c r="W42" s="73"/>
      <c r="X42" s="73"/>
      <c r="Y42" s="73"/>
      <c r="Z42" s="73"/>
      <c r="AA42" s="73"/>
      <c r="AB42" s="74"/>
    </row>
    <row r="43" spans="2:28" ht="15" thickBot="1" x14ac:dyDescent="0.4">
      <c r="B43" s="77"/>
      <c r="C43" s="78"/>
      <c r="D43" s="78"/>
      <c r="E43" s="78"/>
      <c r="F43" s="78"/>
      <c r="G43" s="78"/>
      <c r="H43" s="78"/>
      <c r="I43" s="78"/>
      <c r="J43" s="78"/>
      <c r="K43" s="78"/>
      <c r="L43" s="78"/>
      <c r="M43" s="78"/>
      <c r="N43" s="78"/>
      <c r="O43" s="78"/>
      <c r="P43" s="78"/>
      <c r="Q43" s="78"/>
      <c r="R43" s="78"/>
      <c r="S43" s="78"/>
      <c r="T43" s="79"/>
      <c r="U43" s="78"/>
      <c r="V43" s="78"/>
      <c r="W43" s="78"/>
      <c r="X43" s="78"/>
      <c r="Y43" s="78"/>
      <c r="Z43" s="78"/>
      <c r="AA43" s="78"/>
      <c r="AB43" s="80"/>
    </row>
    <row r="44" spans="2:28" x14ac:dyDescent="0.35"/>
  </sheetData>
  <sheetProtection algorithmName="SHA-512" hashValue="B6gdyHzufelOkGMb8bzdTc1WmjE4P81T/gwH8epUoB3f6THKE58lSfu4qxyCJDI7hFzsTSI1UccwUMOQcRu8Eg==" saltValue="KxIqVulTpiQL96dIFDlCdg==" spinCount="100000" sheet="1" objects="1" scenarios="1"/>
  <mergeCells count="5">
    <mergeCell ref="B2:F3"/>
    <mergeCell ref="G2:AB3"/>
    <mergeCell ref="F35:X39"/>
    <mergeCell ref="B4:AB31"/>
    <mergeCell ref="F32:X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34ECD608-1C5B-4544-B773-6F471C6B6F69}">
          <x14:formula1>
            <xm:f>Lists!$S$1:$S$2</xm:f>
          </x14:formula1>
          <xm:sqref>F35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6C6C-1EF8-4149-BAA3-45F83C2305F0}">
  <sheetPr codeName="Sheet10">
    <tabColor theme="9" tint="0.39997558519241921"/>
  </sheetPr>
  <dimension ref="A1:T23"/>
  <sheetViews>
    <sheetView showGridLines="0" showRowColHeaders="0" workbookViewId="0">
      <selection activeCell="L20" sqref="L20"/>
    </sheetView>
  </sheetViews>
  <sheetFormatPr defaultColWidth="0" defaultRowHeight="21.5" zeroHeight="1" x14ac:dyDescent="0.35"/>
  <cols>
    <col min="1" max="1" width="3.453125" style="38" customWidth="1"/>
    <col min="2" max="2" width="20" style="38" customWidth="1"/>
    <col min="3" max="3" width="21.7265625" style="38" customWidth="1"/>
    <col min="4" max="4" width="36.54296875" style="38" customWidth="1"/>
    <col min="5" max="5" width="12.81640625" style="38" hidden="1" customWidth="1"/>
    <col min="6" max="6" width="34.81640625" style="38" customWidth="1"/>
    <col min="7" max="7" width="3.453125" style="38" customWidth="1"/>
    <col min="8" max="12" width="8.7265625" style="38" customWidth="1"/>
    <col min="13" max="20" width="0" style="38" hidden="1" customWidth="1"/>
    <col min="21" max="16384" width="8.7265625" style="38" hidden="1"/>
  </cols>
  <sheetData>
    <row r="1" spans="2:20" ht="14.5" customHeight="1" x14ac:dyDescent="0.35"/>
    <row r="2" spans="2:20" x14ac:dyDescent="0.35">
      <c r="B2" s="39" t="s">
        <v>80</v>
      </c>
      <c r="C2" s="166" t="str">
        <f>IF(Lists!W6="LOCKED","Please confirm your acceptance of the Terms of Use",SUM(F5:F22))</f>
        <v>Please confirm your acceptance of the Terms of Use</v>
      </c>
      <c r="D2" s="166"/>
      <c r="E2" s="166"/>
      <c r="F2" s="166"/>
    </row>
    <row r="3" spans="2:20" ht="14.5" customHeight="1" thickBot="1" x14ac:dyDescent="0.4">
      <c r="C3" s="40"/>
    </row>
    <row r="4" spans="2:20" ht="22" customHeight="1" thickTop="1" x14ac:dyDescent="0.35">
      <c r="B4" s="26" t="s">
        <v>213</v>
      </c>
      <c r="C4" s="26" t="s">
        <v>221</v>
      </c>
      <c r="D4" s="35" t="s">
        <v>222</v>
      </c>
      <c r="E4" s="29" t="s">
        <v>111</v>
      </c>
      <c r="F4" s="27" t="s">
        <v>13</v>
      </c>
      <c r="H4" s="148" t="s">
        <v>194</v>
      </c>
      <c r="I4" s="158"/>
      <c r="J4" s="158"/>
      <c r="K4" s="159"/>
    </row>
    <row r="5" spans="2:20" ht="22" customHeight="1" x14ac:dyDescent="0.35">
      <c r="B5" s="28"/>
      <c r="C5" s="28"/>
      <c r="D5" s="36"/>
      <c r="E5" s="29" t="str">
        <f>B5&amp;C5</f>
        <v/>
      </c>
      <c r="F5" s="37" t="str">
        <f>IFERROR((VLOOKUP(E5,'Look Ups'!$BD$9:$BE$18,2,FALSE)*'7. On-site Manifolds'!D5),"")</f>
        <v/>
      </c>
      <c r="H5" s="160"/>
      <c r="I5" s="161"/>
      <c r="J5" s="161"/>
      <c r="K5" s="162"/>
      <c r="L5" s="41"/>
      <c r="M5" s="41"/>
      <c r="N5" s="41"/>
      <c r="O5" s="41"/>
      <c r="P5" s="41"/>
      <c r="Q5" s="41"/>
      <c r="R5" s="41"/>
      <c r="S5" s="41"/>
      <c r="T5" s="41"/>
    </row>
    <row r="6" spans="2:20" ht="22" customHeight="1" x14ac:dyDescent="0.35">
      <c r="B6" s="28"/>
      <c r="C6" s="28"/>
      <c r="D6" s="36"/>
      <c r="E6" s="29" t="str">
        <f t="shared" ref="E6:E22" si="0">B6&amp;C6</f>
        <v/>
      </c>
      <c r="F6" s="37" t="str">
        <f>IFERROR((VLOOKUP(E6,'Look Ups'!$BD$9:$BE$18,2,FALSE)*'7. On-site Manifolds'!D6),"")</f>
        <v/>
      </c>
      <c r="H6" s="160"/>
      <c r="I6" s="161"/>
      <c r="J6" s="161"/>
      <c r="K6" s="162"/>
      <c r="L6" s="41"/>
      <c r="M6" s="41"/>
      <c r="N6" s="41"/>
      <c r="O6" s="41"/>
      <c r="P6" s="41"/>
      <c r="Q6" s="41"/>
      <c r="R6" s="41"/>
      <c r="S6" s="41"/>
      <c r="T6" s="41"/>
    </row>
    <row r="7" spans="2:20" ht="22" customHeight="1" x14ac:dyDescent="0.35">
      <c r="B7" s="28"/>
      <c r="C7" s="28"/>
      <c r="D7" s="36"/>
      <c r="E7" s="29" t="str">
        <f t="shared" si="0"/>
        <v/>
      </c>
      <c r="F7" s="37" t="str">
        <f>IFERROR((VLOOKUP(E7,'Look Ups'!$BD$9:$BE$18,2,FALSE)*'7. On-site Manifolds'!D7),"")</f>
        <v/>
      </c>
      <c r="H7" s="160"/>
      <c r="I7" s="161"/>
      <c r="J7" s="161"/>
      <c r="K7" s="162"/>
      <c r="L7" s="41"/>
      <c r="M7" s="41"/>
      <c r="N7" s="41"/>
      <c r="O7" s="41"/>
      <c r="P7" s="41"/>
      <c r="Q7" s="41"/>
      <c r="R7" s="41"/>
      <c r="S7" s="41"/>
      <c r="T7" s="41"/>
    </row>
    <row r="8" spans="2:20" ht="22" customHeight="1" x14ac:dyDescent="0.35">
      <c r="B8" s="28"/>
      <c r="C8" s="28"/>
      <c r="D8" s="36"/>
      <c r="E8" s="29" t="str">
        <f t="shared" si="0"/>
        <v/>
      </c>
      <c r="F8" s="37" t="str">
        <f>IFERROR((VLOOKUP(E8,'Look Ups'!$BD$9:$BE$18,2,FALSE)*'7. On-site Manifolds'!D8),"")</f>
        <v/>
      </c>
      <c r="H8" s="160"/>
      <c r="I8" s="161"/>
      <c r="J8" s="161"/>
      <c r="K8" s="162"/>
      <c r="L8" s="41"/>
      <c r="M8" s="41"/>
      <c r="N8" s="41"/>
      <c r="O8" s="41"/>
      <c r="P8" s="41"/>
      <c r="Q8" s="41"/>
      <c r="R8" s="41"/>
      <c r="S8" s="41"/>
      <c r="T8" s="41"/>
    </row>
    <row r="9" spans="2:20" ht="22" customHeight="1" x14ac:dyDescent="0.35">
      <c r="B9" s="28"/>
      <c r="C9" s="28"/>
      <c r="D9" s="36"/>
      <c r="E9" s="29" t="str">
        <f t="shared" si="0"/>
        <v/>
      </c>
      <c r="F9" s="37" t="str">
        <f>IFERROR((VLOOKUP(E9,'Look Ups'!$BD$9:$BE$18,2,FALSE)*'7. On-site Manifolds'!D9),"")</f>
        <v/>
      </c>
      <c r="H9" s="160"/>
      <c r="I9" s="161"/>
      <c r="J9" s="161"/>
      <c r="K9" s="162"/>
      <c r="L9" s="41"/>
      <c r="M9" s="41"/>
      <c r="N9" s="41"/>
      <c r="O9" s="41"/>
      <c r="P9" s="41"/>
      <c r="Q9" s="41"/>
      <c r="R9" s="41"/>
      <c r="S9" s="41"/>
      <c r="T9" s="41"/>
    </row>
    <row r="10" spans="2:20" ht="22" customHeight="1" x14ac:dyDescent="0.35">
      <c r="B10" s="28"/>
      <c r="C10" s="28"/>
      <c r="D10" s="36"/>
      <c r="E10" s="29" t="str">
        <f t="shared" si="0"/>
        <v/>
      </c>
      <c r="F10" s="37" t="str">
        <f>IFERROR((VLOOKUP(E10,'Look Ups'!$BD$9:$BE$18,2,FALSE)*'7. On-site Manifolds'!D10),"")</f>
        <v/>
      </c>
      <c r="H10" s="160"/>
      <c r="I10" s="161"/>
      <c r="J10" s="161"/>
      <c r="K10" s="162"/>
      <c r="L10" s="41"/>
      <c r="M10" s="41"/>
      <c r="N10" s="41"/>
      <c r="O10" s="41"/>
      <c r="P10" s="41"/>
      <c r="Q10" s="41"/>
      <c r="R10" s="41"/>
      <c r="S10" s="41"/>
      <c r="T10" s="41"/>
    </row>
    <row r="11" spans="2:20" ht="22" customHeight="1" x14ac:dyDescent="0.35">
      <c r="B11" s="28"/>
      <c r="C11" s="28"/>
      <c r="D11" s="36"/>
      <c r="E11" s="29" t="str">
        <f t="shared" si="0"/>
        <v/>
      </c>
      <c r="F11" s="37" t="str">
        <f>IFERROR((VLOOKUP(E11,'Look Ups'!$BD$9:$BE$18,2,FALSE)*'7. On-site Manifolds'!D11),"")</f>
        <v/>
      </c>
      <c r="H11" s="160"/>
      <c r="I11" s="161"/>
      <c r="J11" s="161"/>
      <c r="K11" s="162"/>
      <c r="L11" s="41"/>
      <c r="M11" s="41"/>
      <c r="N11" s="41"/>
      <c r="O11" s="41"/>
      <c r="P11" s="41"/>
      <c r="Q11" s="41"/>
      <c r="R11" s="41"/>
      <c r="S11" s="41"/>
      <c r="T11" s="41"/>
    </row>
    <row r="12" spans="2:20" ht="22" customHeight="1" x14ac:dyDescent="0.35">
      <c r="B12" s="28"/>
      <c r="C12" s="28"/>
      <c r="D12" s="36"/>
      <c r="E12" s="29" t="str">
        <f t="shared" si="0"/>
        <v/>
      </c>
      <c r="F12" s="37" t="str">
        <f>IFERROR((VLOOKUP(E12,'Look Ups'!$BD$9:$BE$18,2,FALSE)*'7. On-site Manifolds'!D12),"")</f>
        <v/>
      </c>
      <c r="H12" s="160"/>
      <c r="I12" s="161"/>
      <c r="J12" s="161"/>
      <c r="K12" s="162"/>
      <c r="L12" s="41"/>
      <c r="M12" s="41"/>
      <c r="N12" s="41"/>
      <c r="O12" s="41"/>
      <c r="P12" s="41"/>
      <c r="Q12" s="41"/>
      <c r="R12" s="41"/>
      <c r="S12" s="41"/>
      <c r="T12" s="41"/>
    </row>
    <row r="13" spans="2:20" ht="22" customHeight="1" x14ac:dyDescent="0.35">
      <c r="B13" s="28"/>
      <c r="C13" s="28"/>
      <c r="D13" s="36"/>
      <c r="E13" s="29" t="str">
        <f t="shared" si="0"/>
        <v/>
      </c>
      <c r="F13" s="37" t="str">
        <f>IFERROR((VLOOKUP(E13,'Look Ups'!$BD$9:$BE$18,2,FALSE)*'7. On-site Manifolds'!D13),"")</f>
        <v/>
      </c>
      <c r="H13" s="160"/>
      <c r="I13" s="161"/>
      <c r="J13" s="161"/>
      <c r="K13" s="162"/>
      <c r="L13" s="41"/>
      <c r="M13" s="41"/>
      <c r="N13" s="41"/>
      <c r="O13" s="41"/>
      <c r="P13" s="41"/>
      <c r="Q13" s="41"/>
      <c r="R13" s="41"/>
      <c r="S13" s="41"/>
      <c r="T13" s="41"/>
    </row>
    <row r="14" spans="2:20" ht="22" customHeight="1" x14ac:dyDescent="0.35">
      <c r="B14" s="28"/>
      <c r="C14" s="28"/>
      <c r="D14" s="36"/>
      <c r="E14" s="29" t="str">
        <f t="shared" si="0"/>
        <v/>
      </c>
      <c r="F14" s="37" t="str">
        <f>IFERROR((VLOOKUP(E14,'Look Ups'!$BD$9:$BE$18,2,FALSE)*'7. On-site Manifolds'!D14),"")</f>
        <v/>
      </c>
      <c r="H14" s="160"/>
      <c r="I14" s="161"/>
      <c r="J14" s="161"/>
      <c r="K14" s="162"/>
      <c r="L14" s="41"/>
      <c r="M14" s="41"/>
      <c r="N14" s="41"/>
      <c r="O14" s="41"/>
      <c r="P14" s="41"/>
      <c r="Q14" s="41"/>
      <c r="R14" s="41"/>
      <c r="S14" s="41"/>
      <c r="T14" s="41"/>
    </row>
    <row r="15" spans="2:20" ht="22" customHeight="1" x14ac:dyDescent="0.35">
      <c r="B15" s="28"/>
      <c r="C15" s="28"/>
      <c r="D15" s="36"/>
      <c r="E15" s="29" t="str">
        <f t="shared" si="0"/>
        <v/>
      </c>
      <c r="F15" s="37" t="str">
        <f>IFERROR((VLOOKUP(E15,'Look Ups'!$BD$9:$BE$18,2,FALSE)*'7. On-site Manifolds'!D15),"")</f>
        <v/>
      </c>
      <c r="H15" s="160"/>
      <c r="I15" s="161"/>
      <c r="J15" s="161"/>
      <c r="K15" s="162"/>
      <c r="L15" s="41"/>
      <c r="M15" s="41"/>
      <c r="N15" s="41"/>
      <c r="O15" s="41"/>
      <c r="P15" s="41"/>
      <c r="Q15" s="41"/>
      <c r="R15" s="41"/>
      <c r="S15" s="41"/>
      <c r="T15" s="41"/>
    </row>
    <row r="16" spans="2:20" ht="22" customHeight="1" x14ac:dyDescent="0.35">
      <c r="B16" s="28"/>
      <c r="C16" s="28"/>
      <c r="D16" s="36"/>
      <c r="E16" s="29" t="str">
        <f t="shared" si="0"/>
        <v/>
      </c>
      <c r="F16" s="37" t="str">
        <f>IFERROR((VLOOKUP(E16,'Look Ups'!$BD$9:$BE$18,2,FALSE)*'7. On-site Manifolds'!D16),"")</f>
        <v/>
      </c>
      <c r="H16" s="160"/>
      <c r="I16" s="161"/>
      <c r="J16" s="161"/>
      <c r="K16" s="162"/>
      <c r="L16" s="41"/>
      <c r="M16" s="41"/>
      <c r="N16" s="41"/>
      <c r="O16" s="41"/>
      <c r="P16" s="41"/>
      <c r="Q16" s="41"/>
      <c r="R16" s="41"/>
      <c r="S16" s="41"/>
      <c r="T16" s="41"/>
    </row>
    <row r="17" spans="2:20" ht="22" customHeight="1" x14ac:dyDescent="0.35">
      <c r="B17" s="28"/>
      <c r="C17" s="28"/>
      <c r="D17" s="36"/>
      <c r="E17" s="29" t="str">
        <f t="shared" si="0"/>
        <v/>
      </c>
      <c r="F17" s="37" t="str">
        <f>IFERROR((VLOOKUP(E17,'Look Ups'!$BD$9:$BE$18,2,FALSE)*'7. On-site Manifolds'!D17),"")</f>
        <v/>
      </c>
      <c r="H17" s="160"/>
      <c r="I17" s="161"/>
      <c r="J17" s="161"/>
      <c r="K17" s="162"/>
      <c r="L17" s="41"/>
      <c r="M17" s="41"/>
      <c r="N17" s="41"/>
      <c r="O17" s="41"/>
      <c r="P17" s="41"/>
      <c r="Q17" s="41"/>
      <c r="R17" s="41"/>
      <c r="S17" s="41"/>
      <c r="T17" s="41"/>
    </row>
    <row r="18" spans="2:20" ht="22" customHeight="1" x14ac:dyDescent="0.35">
      <c r="B18" s="28"/>
      <c r="C18" s="28"/>
      <c r="D18" s="36"/>
      <c r="E18" s="29" t="str">
        <f t="shared" si="0"/>
        <v/>
      </c>
      <c r="F18" s="37" t="str">
        <f>IFERROR((VLOOKUP(E18,'Look Ups'!$BD$9:$BE$18,2,FALSE)*'7. On-site Manifolds'!D18),"")</f>
        <v/>
      </c>
      <c r="H18" s="160"/>
      <c r="I18" s="161"/>
      <c r="J18" s="161"/>
      <c r="K18" s="162"/>
      <c r="L18" s="41"/>
      <c r="M18" s="41"/>
      <c r="N18" s="41"/>
      <c r="O18" s="41"/>
      <c r="P18" s="41"/>
      <c r="Q18" s="41"/>
      <c r="R18" s="41"/>
      <c r="S18" s="41"/>
      <c r="T18" s="41"/>
    </row>
    <row r="19" spans="2:20" ht="22" customHeight="1" x14ac:dyDescent="0.35">
      <c r="B19" s="28"/>
      <c r="C19" s="28"/>
      <c r="D19" s="36"/>
      <c r="E19" s="29" t="str">
        <f t="shared" si="0"/>
        <v/>
      </c>
      <c r="F19" s="37" t="str">
        <f>IFERROR((VLOOKUP(E19,'Look Ups'!$BD$9:$BE$18,2,FALSE)*'7. On-site Manifolds'!D19),"")</f>
        <v/>
      </c>
      <c r="H19" s="160"/>
      <c r="I19" s="161"/>
      <c r="J19" s="161"/>
      <c r="K19" s="162"/>
      <c r="L19" s="41"/>
      <c r="M19" s="41"/>
      <c r="N19" s="41"/>
      <c r="O19" s="41"/>
      <c r="P19" s="41"/>
      <c r="Q19" s="41"/>
      <c r="R19" s="41"/>
      <c r="S19" s="41"/>
      <c r="T19" s="41"/>
    </row>
    <row r="20" spans="2:20" ht="22" customHeight="1" x14ac:dyDescent="0.35">
      <c r="B20" s="28"/>
      <c r="C20" s="28"/>
      <c r="D20" s="36"/>
      <c r="E20" s="29" t="str">
        <f t="shared" si="0"/>
        <v/>
      </c>
      <c r="F20" s="37" t="str">
        <f>IFERROR((VLOOKUP(E20,'Look Ups'!$BD$9:$BE$18,2,FALSE)*'7. On-site Manifolds'!D20),"")</f>
        <v/>
      </c>
      <c r="H20" s="160"/>
      <c r="I20" s="161"/>
      <c r="J20" s="161"/>
      <c r="K20" s="162"/>
      <c r="L20" s="41"/>
      <c r="M20" s="41"/>
      <c r="N20" s="41"/>
      <c r="O20" s="41"/>
      <c r="P20" s="41"/>
      <c r="Q20" s="41"/>
      <c r="R20" s="41"/>
      <c r="S20" s="41"/>
      <c r="T20" s="41"/>
    </row>
    <row r="21" spans="2:20" ht="22" customHeight="1" x14ac:dyDescent="0.35">
      <c r="B21" s="28"/>
      <c r="C21" s="28"/>
      <c r="D21" s="36"/>
      <c r="E21" s="29" t="str">
        <f t="shared" si="0"/>
        <v/>
      </c>
      <c r="F21" s="37" t="str">
        <f>IFERROR((VLOOKUP(E21,'Look Ups'!$BD$9:$BE$18,2,FALSE)*'7. On-site Manifolds'!D21),"")</f>
        <v/>
      </c>
      <c r="H21" s="160"/>
      <c r="I21" s="161"/>
      <c r="J21" s="161"/>
      <c r="K21" s="162"/>
      <c r="L21" s="41"/>
      <c r="M21" s="41"/>
      <c r="N21" s="41"/>
      <c r="O21" s="41"/>
      <c r="P21" s="41"/>
      <c r="Q21" s="41"/>
      <c r="R21" s="41"/>
      <c r="S21" s="41"/>
      <c r="T21" s="41"/>
    </row>
    <row r="22" spans="2:20" ht="22" customHeight="1" thickBot="1" x14ac:dyDescent="0.4">
      <c r="B22" s="28"/>
      <c r="C22" s="28"/>
      <c r="D22" s="36"/>
      <c r="E22" s="29" t="str">
        <f t="shared" si="0"/>
        <v/>
      </c>
      <c r="F22" s="37" t="str">
        <f>IFERROR((VLOOKUP(E22,'Look Ups'!$BD$9:$BE$18,2,FALSE)*'7. On-site Manifolds'!D22),"")</f>
        <v/>
      </c>
      <c r="H22" s="163"/>
      <c r="I22" s="164"/>
      <c r="J22" s="164"/>
      <c r="K22" s="165"/>
      <c r="L22" s="41"/>
      <c r="M22" s="41"/>
      <c r="N22" s="41"/>
      <c r="O22" s="41"/>
      <c r="P22" s="41"/>
      <c r="Q22" s="41"/>
      <c r="R22" s="41"/>
      <c r="S22" s="41"/>
      <c r="T22" s="41"/>
    </row>
    <row r="23" spans="2:20" ht="22" thickTop="1" x14ac:dyDescent="0.35"/>
  </sheetData>
  <sheetProtection algorithmName="SHA-512" hashValue="zEWips0hCEViFpowiURhy5Ht2vJkPwyuyedzBuh6asKwtdWKLFkTjPcbTnc6ecRFEtPRiH9vl5BMKTjR2bZcPA==" saltValue="bvehiGbboLoQ74CWSt4WFA==" spinCount="100000" sheet="1" objects="1" scenarios="1"/>
  <mergeCells count="2">
    <mergeCell ref="C2:F2"/>
    <mergeCell ref="H4:K22"/>
  </mergeCells>
  <conditionalFormatting sqref="F5:F22">
    <cfRule type="expression" dxfId="15" priority="1">
      <formula>$C$2="Please confirm your acceptance of the Terms of Use"</formula>
    </cfRule>
    <cfRule type="expression" dxfId="14" priority="2">
      <formula>$C$2="Please refer to Front Page"</formula>
    </cfRule>
  </conditionalFormatting>
  <dataValidations count="1">
    <dataValidation type="whole" allowBlank="1" showInputMessage="1" showErrorMessage="1" sqref="D5:D22" xr:uid="{C0E61B43-CD6C-4B2B-9A26-0F901A09CDF3}">
      <formula1>0</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B869024-B7D0-472E-B565-A421C1C85DF2}">
          <x14:formula1>
            <xm:f>Lists!$D$1:$D$2</xm:f>
          </x14:formula1>
          <xm:sqref>B5:B22</xm:sqref>
        </x14:dataValidation>
        <x14:dataValidation type="list" allowBlank="1" showInputMessage="1" showErrorMessage="1" xr:uid="{F6B7ADA3-6AFD-4D25-A554-CCED3A8774CA}">
          <x14:formula1>
            <xm:f>Lists!$H$1:$H$5</xm:f>
          </x14:formula1>
          <xm:sqref>C5:C22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AC838-9796-45ED-86DC-A11F72AD64A0}">
  <sheetPr codeName="Sheet11">
    <tabColor theme="9" tint="0.39997558519241921"/>
  </sheetPr>
  <dimension ref="A1:AA23"/>
  <sheetViews>
    <sheetView showGridLines="0" showRowColHeaders="0" workbookViewId="0">
      <selection activeCell="F4" sqref="F4:K22"/>
    </sheetView>
  </sheetViews>
  <sheetFormatPr defaultColWidth="0" defaultRowHeight="21.5" zeroHeight="1" x14ac:dyDescent="0.9"/>
  <cols>
    <col min="1" max="1" width="3.453125" style="13" customWidth="1"/>
    <col min="2" max="2" width="20.1796875" style="13" customWidth="1"/>
    <col min="3" max="3" width="21.26953125" style="13" customWidth="1"/>
    <col min="4" max="4" width="58.453125" style="13" customWidth="1"/>
    <col min="5" max="5" width="3.453125" style="13" customWidth="1"/>
    <col min="6" max="12" width="8.7265625" style="13" customWidth="1"/>
    <col min="13" max="27" width="0" style="13" hidden="1" customWidth="1"/>
    <col min="28" max="16384" width="8.7265625" style="13" hidden="1"/>
  </cols>
  <sheetData>
    <row r="1" spans="2:25" ht="14.5" customHeight="1" x14ac:dyDescent="0.9"/>
    <row r="2" spans="2:25" x14ac:dyDescent="0.9">
      <c r="B2" s="22" t="s">
        <v>80</v>
      </c>
      <c r="C2" s="166" t="str">
        <f>IF(Lists!W6="LOCKED","Please confirm your acceptance of the Terms of Use",SUM(D5:D22))</f>
        <v>Please confirm your acceptance of the Terms of Use</v>
      </c>
      <c r="D2" s="166"/>
    </row>
    <row r="3" spans="2:25" ht="14.5" customHeight="1" thickBot="1" x14ac:dyDescent="0.95">
      <c r="C3" s="23"/>
    </row>
    <row r="4" spans="2:25" ht="22" customHeight="1" x14ac:dyDescent="0.9">
      <c r="B4" s="35" t="s">
        <v>110</v>
      </c>
      <c r="C4" s="35" t="s">
        <v>223</v>
      </c>
      <c r="D4" s="27" t="s">
        <v>13</v>
      </c>
      <c r="F4" s="132" t="s">
        <v>242</v>
      </c>
      <c r="G4" s="133"/>
      <c r="H4" s="133"/>
      <c r="I4" s="133"/>
      <c r="J4" s="133"/>
      <c r="K4" s="134"/>
      <c r="L4" s="41"/>
      <c r="M4" s="41"/>
      <c r="N4" s="41"/>
      <c r="O4" s="41"/>
      <c r="P4" s="41"/>
      <c r="Q4" s="41"/>
      <c r="R4" s="41"/>
      <c r="S4" s="41"/>
      <c r="T4" s="41"/>
      <c r="U4" s="41"/>
      <c r="V4" s="41"/>
      <c r="W4" s="41"/>
      <c r="X4" s="41"/>
      <c r="Y4" s="41"/>
    </row>
    <row r="5" spans="2:25" ht="22" customHeight="1" x14ac:dyDescent="0.9">
      <c r="B5" s="36"/>
      <c r="C5" s="36"/>
      <c r="D5" s="37" t="str">
        <f>IFERROR((VLOOKUP(B5,'Look Ups'!$BH$7:$BI$17,2,FALSE)*'8. Meters For Self Lay'!C5),"")</f>
        <v/>
      </c>
      <c r="F5" s="135"/>
      <c r="G5" s="136"/>
      <c r="H5" s="136"/>
      <c r="I5" s="136"/>
      <c r="J5" s="136"/>
      <c r="K5" s="137"/>
      <c r="L5" s="41"/>
      <c r="M5" s="41"/>
      <c r="N5" s="41"/>
      <c r="O5" s="41"/>
      <c r="P5" s="41"/>
      <c r="Q5" s="41"/>
      <c r="R5" s="41"/>
      <c r="S5" s="41"/>
      <c r="T5" s="41"/>
      <c r="U5" s="41"/>
      <c r="V5" s="41"/>
      <c r="W5" s="41"/>
      <c r="X5" s="41"/>
      <c r="Y5" s="41"/>
    </row>
    <row r="6" spans="2:25" ht="22" customHeight="1" x14ac:dyDescent="0.9">
      <c r="B6" s="36"/>
      <c r="C6" s="36"/>
      <c r="D6" s="37" t="str">
        <f>IFERROR((VLOOKUP(B6,'Look Ups'!$BH$7:$BI$17,2,FALSE)*'8. Meters For Self Lay'!C6),"")</f>
        <v/>
      </c>
      <c r="F6" s="135"/>
      <c r="G6" s="136"/>
      <c r="H6" s="136"/>
      <c r="I6" s="136"/>
      <c r="J6" s="136"/>
      <c r="K6" s="137"/>
      <c r="L6" s="41"/>
      <c r="M6" s="41"/>
      <c r="N6" s="41"/>
      <c r="O6" s="41"/>
      <c r="P6" s="41"/>
      <c r="Q6" s="41"/>
      <c r="R6" s="41"/>
      <c r="S6" s="41"/>
      <c r="T6" s="41"/>
      <c r="U6" s="41"/>
      <c r="V6" s="41"/>
      <c r="W6" s="41"/>
      <c r="X6" s="41"/>
      <c r="Y6" s="41"/>
    </row>
    <row r="7" spans="2:25" ht="22" customHeight="1" x14ac:dyDescent="0.9">
      <c r="B7" s="36"/>
      <c r="C7" s="36"/>
      <c r="D7" s="37" t="str">
        <f>IFERROR((VLOOKUP(B7,'Look Ups'!$BH$7:$BI$17,2,FALSE)*'8. Meters For Self Lay'!C7),"")</f>
        <v/>
      </c>
      <c r="F7" s="135"/>
      <c r="G7" s="136"/>
      <c r="H7" s="136"/>
      <c r="I7" s="136"/>
      <c r="J7" s="136"/>
      <c r="K7" s="137"/>
      <c r="L7" s="41"/>
      <c r="M7" s="41"/>
      <c r="N7" s="41"/>
      <c r="O7" s="41"/>
      <c r="P7" s="41"/>
      <c r="Q7" s="41"/>
      <c r="R7" s="41"/>
      <c r="S7" s="41"/>
      <c r="T7" s="41"/>
      <c r="U7" s="41"/>
      <c r="V7" s="41"/>
      <c r="W7" s="41"/>
      <c r="X7" s="41"/>
      <c r="Y7" s="41"/>
    </row>
    <row r="8" spans="2:25" ht="22" customHeight="1" x14ac:dyDescent="0.9">
      <c r="B8" s="36"/>
      <c r="C8" s="36"/>
      <c r="D8" s="37" t="str">
        <f>IFERROR((VLOOKUP(B8,'Look Ups'!$BH$7:$BI$17,2,FALSE)*'8. Meters For Self Lay'!C8),"")</f>
        <v/>
      </c>
      <c r="F8" s="135"/>
      <c r="G8" s="136"/>
      <c r="H8" s="136"/>
      <c r="I8" s="136"/>
      <c r="J8" s="136"/>
      <c r="K8" s="137"/>
      <c r="L8" s="41"/>
      <c r="M8" s="41"/>
      <c r="N8" s="41"/>
      <c r="O8" s="41"/>
      <c r="P8" s="41"/>
      <c r="Q8" s="41"/>
      <c r="R8" s="41"/>
      <c r="S8" s="41"/>
      <c r="T8" s="41"/>
      <c r="U8" s="41"/>
      <c r="V8" s="41"/>
      <c r="W8" s="41"/>
      <c r="X8" s="41"/>
      <c r="Y8" s="41"/>
    </row>
    <row r="9" spans="2:25" ht="22" customHeight="1" x14ac:dyDescent="0.9">
      <c r="B9" s="36"/>
      <c r="C9" s="36"/>
      <c r="D9" s="37" t="str">
        <f>IFERROR((VLOOKUP(B9,'Look Ups'!$BH$7:$BI$17,2,FALSE)*'8. Meters For Self Lay'!C9),"")</f>
        <v/>
      </c>
      <c r="F9" s="135"/>
      <c r="G9" s="136"/>
      <c r="H9" s="136"/>
      <c r="I9" s="136"/>
      <c r="J9" s="136"/>
      <c r="K9" s="137"/>
      <c r="L9" s="41"/>
      <c r="M9" s="41"/>
      <c r="N9" s="41"/>
      <c r="O9" s="41"/>
      <c r="P9" s="41"/>
      <c r="Q9" s="41"/>
      <c r="R9" s="41"/>
      <c r="S9" s="41"/>
      <c r="T9" s="41"/>
      <c r="U9" s="41"/>
      <c r="V9" s="41"/>
      <c r="W9" s="41"/>
      <c r="X9" s="41"/>
      <c r="Y9" s="41"/>
    </row>
    <row r="10" spans="2:25" ht="22" customHeight="1" x14ac:dyDescent="0.9">
      <c r="B10" s="36"/>
      <c r="C10" s="36"/>
      <c r="D10" s="37" t="str">
        <f>IFERROR((VLOOKUP(B10,'Look Ups'!$BH$7:$BI$17,2,FALSE)*'8. Meters For Self Lay'!C10),"")</f>
        <v/>
      </c>
      <c r="F10" s="135"/>
      <c r="G10" s="136"/>
      <c r="H10" s="136"/>
      <c r="I10" s="136"/>
      <c r="J10" s="136"/>
      <c r="K10" s="137"/>
      <c r="L10" s="41"/>
      <c r="M10" s="41"/>
      <c r="N10" s="41"/>
      <c r="O10" s="41"/>
      <c r="P10" s="41"/>
      <c r="Q10" s="41"/>
      <c r="R10" s="41"/>
      <c r="S10" s="41"/>
      <c r="T10" s="41"/>
      <c r="U10" s="41"/>
      <c r="V10" s="41"/>
      <c r="W10" s="41"/>
      <c r="X10" s="41"/>
      <c r="Y10" s="41"/>
    </row>
    <row r="11" spans="2:25" ht="22" customHeight="1" x14ac:dyDescent="0.9">
      <c r="B11" s="36"/>
      <c r="C11" s="36"/>
      <c r="D11" s="37" t="str">
        <f>IFERROR((VLOOKUP(B11,'Look Ups'!$BH$7:$BI$17,2,FALSE)*'8. Meters For Self Lay'!C11),"")</f>
        <v/>
      </c>
      <c r="F11" s="135"/>
      <c r="G11" s="136"/>
      <c r="H11" s="136"/>
      <c r="I11" s="136"/>
      <c r="J11" s="136"/>
      <c r="K11" s="137"/>
      <c r="L11" s="41"/>
      <c r="M11" s="41"/>
      <c r="N11" s="41"/>
      <c r="O11" s="41"/>
      <c r="P11" s="41"/>
      <c r="Q11" s="41"/>
      <c r="R11" s="41"/>
      <c r="S11" s="41"/>
      <c r="T11" s="41"/>
      <c r="U11" s="41"/>
      <c r="V11" s="41"/>
      <c r="W11" s="41"/>
      <c r="X11" s="41"/>
      <c r="Y11" s="41"/>
    </row>
    <row r="12" spans="2:25" ht="22" customHeight="1" x14ac:dyDescent="0.9">
      <c r="B12" s="36"/>
      <c r="C12" s="36"/>
      <c r="D12" s="37" t="str">
        <f>IFERROR((VLOOKUP(B12,'Look Ups'!$BH$7:$BI$17,2,FALSE)*'8. Meters For Self Lay'!C12),"")</f>
        <v/>
      </c>
      <c r="F12" s="135"/>
      <c r="G12" s="136"/>
      <c r="H12" s="136"/>
      <c r="I12" s="136"/>
      <c r="J12" s="136"/>
      <c r="K12" s="137"/>
      <c r="L12" s="41"/>
      <c r="M12" s="41"/>
      <c r="N12" s="41"/>
      <c r="O12" s="41"/>
      <c r="P12" s="41"/>
      <c r="Q12" s="41"/>
      <c r="R12" s="41"/>
      <c r="S12" s="41"/>
      <c r="T12" s="41"/>
      <c r="U12" s="41"/>
      <c r="V12" s="41"/>
      <c r="W12" s="41"/>
      <c r="X12" s="41"/>
      <c r="Y12" s="41"/>
    </row>
    <row r="13" spans="2:25" ht="22" customHeight="1" x14ac:dyDescent="0.9">
      <c r="B13" s="36"/>
      <c r="C13" s="36"/>
      <c r="D13" s="37" t="str">
        <f>IFERROR((VLOOKUP(B13,'Look Ups'!$BH$7:$BI$17,2,FALSE)*'8. Meters For Self Lay'!C13),"")</f>
        <v/>
      </c>
      <c r="F13" s="135"/>
      <c r="G13" s="136"/>
      <c r="H13" s="136"/>
      <c r="I13" s="136"/>
      <c r="J13" s="136"/>
      <c r="K13" s="137"/>
      <c r="L13" s="41"/>
      <c r="M13" s="41"/>
      <c r="N13" s="41"/>
      <c r="O13" s="41"/>
      <c r="P13" s="41"/>
      <c r="Q13" s="41"/>
      <c r="R13" s="41"/>
      <c r="S13" s="41"/>
      <c r="T13" s="41"/>
      <c r="U13" s="41"/>
      <c r="V13" s="41"/>
      <c r="W13" s="41"/>
      <c r="X13" s="41"/>
      <c r="Y13" s="41"/>
    </row>
    <row r="14" spans="2:25" ht="22" customHeight="1" x14ac:dyDescent="0.9">
      <c r="B14" s="36"/>
      <c r="C14" s="36"/>
      <c r="D14" s="37" t="str">
        <f>IFERROR((VLOOKUP(B14,'Look Ups'!$BH$7:$BI$17,2,FALSE)*'8. Meters For Self Lay'!C14),"")</f>
        <v/>
      </c>
      <c r="F14" s="135"/>
      <c r="G14" s="136"/>
      <c r="H14" s="136"/>
      <c r="I14" s="136"/>
      <c r="J14" s="136"/>
      <c r="K14" s="137"/>
      <c r="L14" s="41"/>
      <c r="M14" s="41"/>
      <c r="N14" s="41"/>
      <c r="O14" s="41"/>
      <c r="P14" s="41"/>
      <c r="Q14" s="41"/>
      <c r="R14" s="41"/>
      <c r="S14" s="41"/>
      <c r="T14" s="41"/>
      <c r="U14" s="41"/>
      <c r="V14" s="41"/>
      <c r="W14" s="41"/>
      <c r="X14" s="41"/>
      <c r="Y14" s="41"/>
    </row>
    <row r="15" spans="2:25" ht="22" customHeight="1" x14ac:dyDescent="0.9">
      <c r="B15" s="36"/>
      <c r="C15" s="36"/>
      <c r="D15" s="37" t="str">
        <f>IFERROR((VLOOKUP(B15,'Look Ups'!$BH$7:$BI$17,2,FALSE)*'8. Meters For Self Lay'!C15),"")</f>
        <v/>
      </c>
      <c r="F15" s="135"/>
      <c r="G15" s="136"/>
      <c r="H15" s="136"/>
      <c r="I15" s="136"/>
      <c r="J15" s="136"/>
      <c r="K15" s="137"/>
      <c r="L15" s="41"/>
      <c r="M15" s="41"/>
      <c r="N15" s="41"/>
      <c r="O15" s="41"/>
      <c r="P15" s="41"/>
      <c r="Q15" s="41"/>
      <c r="R15" s="41"/>
      <c r="S15" s="41"/>
      <c r="T15" s="41"/>
      <c r="U15" s="41"/>
      <c r="V15" s="41"/>
      <c r="W15" s="41"/>
      <c r="X15" s="41"/>
      <c r="Y15" s="41"/>
    </row>
    <row r="16" spans="2:25" ht="22" customHeight="1" x14ac:dyDescent="0.9">
      <c r="B16" s="36"/>
      <c r="C16" s="36"/>
      <c r="D16" s="37" t="str">
        <f>IFERROR((VLOOKUP(B16,'Look Ups'!$BH$7:$BI$17,2,FALSE)*'8. Meters For Self Lay'!C16),"")</f>
        <v/>
      </c>
      <c r="F16" s="135"/>
      <c r="G16" s="136"/>
      <c r="H16" s="136"/>
      <c r="I16" s="136"/>
      <c r="J16" s="136"/>
      <c r="K16" s="137"/>
      <c r="L16" s="41"/>
      <c r="M16" s="41"/>
      <c r="N16" s="41"/>
      <c r="O16" s="41"/>
      <c r="P16" s="41"/>
      <c r="Q16" s="41"/>
      <c r="R16" s="41"/>
      <c r="S16" s="41"/>
      <c r="T16" s="41"/>
      <c r="U16" s="41"/>
      <c r="V16" s="41"/>
      <c r="W16" s="41"/>
      <c r="X16" s="41"/>
      <c r="Y16" s="41"/>
    </row>
    <row r="17" spans="2:27" ht="22" customHeight="1" x14ac:dyDescent="0.9">
      <c r="B17" s="36"/>
      <c r="C17" s="36"/>
      <c r="D17" s="37" t="str">
        <f>IFERROR((VLOOKUP(B17,'Look Ups'!$BH$7:$BI$17,2,FALSE)*'8. Meters For Self Lay'!C17),"")</f>
        <v/>
      </c>
      <c r="F17" s="135"/>
      <c r="G17" s="136"/>
      <c r="H17" s="136"/>
      <c r="I17" s="136"/>
      <c r="J17" s="136"/>
      <c r="K17" s="137"/>
      <c r="L17" s="41"/>
      <c r="M17" s="41"/>
      <c r="N17" s="41"/>
      <c r="O17" s="41"/>
      <c r="P17" s="41"/>
      <c r="Q17" s="41"/>
      <c r="R17" s="41"/>
      <c r="S17" s="41"/>
      <c r="T17" s="41"/>
      <c r="U17" s="41"/>
      <c r="V17" s="41"/>
      <c r="W17" s="41"/>
      <c r="X17" s="41"/>
      <c r="Y17" s="41"/>
    </row>
    <row r="18" spans="2:27" ht="22" customHeight="1" x14ac:dyDescent="0.9">
      <c r="B18" s="36"/>
      <c r="C18" s="36"/>
      <c r="D18" s="37" t="str">
        <f>IFERROR((VLOOKUP(B18,'Look Ups'!$BH$7:$BI$17,2,FALSE)*'8. Meters For Self Lay'!C18),"")</f>
        <v/>
      </c>
      <c r="F18" s="135"/>
      <c r="G18" s="136"/>
      <c r="H18" s="136"/>
      <c r="I18" s="136"/>
      <c r="J18" s="136"/>
      <c r="K18" s="137"/>
      <c r="L18" s="41"/>
      <c r="M18" s="41"/>
      <c r="N18" s="41"/>
      <c r="O18" s="41"/>
      <c r="P18" s="41"/>
      <c r="Q18" s="41"/>
      <c r="R18" s="41"/>
      <c r="S18" s="41"/>
      <c r="T18" s="41"/>
      <c r="U18" s="41"/>
      <c r="V18" s="41"/>
      <c r="W18" s="41"/>
      <c r="X18" s="41"/>
      <c r="Y18" s="41"/>
    </row>
    <row r="19" spans="2:27" ht="22" customHeight="1" x14ac:dyDescent="0.9">
      <c r="B19" s="36"/>
      <c r="C19" s="36"/>
      <c r="D19" s="37" t="str">
        <f>IFERROR((VLOOKUP(B19,'Look Ups'!$BH$7:$BI$17,2,FALSE)*'8. Meters For Self Lay'!C19),"")</f>
        <v/>
      </c>
      <c r="F19" s="135"/>
      <c r="G19" s="136"/>
      <c r="H19" s="136"/>
      <c r="I19" s="136"/>
      <c r="J19" s="136"/>
      <c r="K19" s="137"/>
      <c r="L19" s="41"/>
      <c r="M19" s="41"/>
      <c r="N19" s="41"/>
      <c r="O19" s="41"/>
      <c r="P19" s="41"/>
      <c r="Q19" s="41"/>
      <c r="R19" s="41"/>
      <c r="S19" s="41"/>
      <c r="T19" s="41"/>
      <c r="U19" s="41"/>
      <c r="V19" s="41"/>
      <c r="W19" s="41"/>
      <c r="X19" s="41"/>
      <c r="Y19" s="41"/>
    </row>
    <row r="20" spans="2:27" ht="22" customHeight="1" x14ac:dyDescent="0.9">
      <c r="B20" s="36"/>
      <c r="C20" s="36"/>
      <c r="D20" s="37" t="str">
        <f>IFERROR((VLOOKUP(B20,'Look Ups'!$BH$7:$BI$17,2,FALSE)*'8. Meters For Self Lay'!C20),"")</f>
        <v/>
      </c>
      <c r="F20" s="135"/>
      <c r="G20" s="136"/>
      <c r="H20" s="136"/>
      <c r="I20" s="136"/>
      <c r="J20" s="136"/>
      <c r="K20" s="137"/>
      <c r="L20" s="41"/>
      <c r="M20" s="41"/>
      <c r="N20" s="41"/>
      <c r="O20" s="41"/>
      <c r="P20" s="41"/>
      <c r="Q20" s="41"/>
      <c r="R20" s="41"/>
      <c r="S20" s="41"/>
      <c r="T20" s="41"/>
      <c r="U20" s="41"/>
      <c r="V20" s="41"/>
      <c r="W20" s="41"/>
      <c r="X20" s="41"/>
      <c r="Y20" s="41"/>
    </row>
    <row r="21" spans="2:27" ht="22" customHeight="1" x14ac:dyDescent="0.9">
      <c r="B21" s="36"/>
      <c r="C21" s="36"/>
      <c r="D21" s="37" t="str">
        <f>IFERROR((VLOOKUP(B21,'Look Ups'!$BH$7:$BI$17,2,FALSE)*'8. Meters For Self Lay'!C21),"")</f>
        <v/>
      </c>
      <c r="F21" s="135"/>
      <c r="G21" s="136"/>
      <c r="H21" s="136"/>
      <c r="I21" s="136"/>
      <c r="J21" s="136"/>
      <c r="K21" s="137"/>
      <c r="L21" s="41"/>
      <c r="M21" s="41"/>
      <c r="N21" s="41"/>
      <c r="O21" s="41"/>
      <c r="P21" s="41"/>
      <c r="Q21" s="41"/>
      <c r="R21" s="41"/>
      <c r="S21" s="41"/>
      <c r="T21" s="41"/>
      <c r="U21" s="41"/>
      <c r="V21" s="41"/>
      <c r="W21" s="41"/>
      <c r="X21" s="41"/>
      <c r="Y21" s="41"/>
    </row>
    <row r="22" spans="2:27" ht="22" customHeight="1" thickBot="1" x14ac:dyDescent="0.95">
      <c r="B22" s="36"/>
      <c r="C22" s="36"/>
      <c r="D22" s="37" t="str">
        <f>IFERROR((VLOOKUP(B22,'Look Ups'!$BH$7:$BI$17,2,FALSE)*'8. Meters For Self Lay'!C22),"")</f>
        <v/>
      </c>
      <c r="F22" s="138"/>
      <c r="G22" s="139"/>
      <c r="H22" s="139"/>
      <c r="I22" s="139"/>
      <c r="J22" s="139"/>
      <c r="K22" s="140"/>
      <c r="L22" s="41"/>
      <c r="M22" s="41"/>
      <c r="N22" s="41"/>
      <c r="O22" s="41"/>
      <c r="P22" s="41"/>
      <c r="Q22" s="41"/>
      <c r="R22" s="41"/>
      <c r="S22" s="41"/>
      <c r="T22" s="41"/>
      <c r="U22" s="41"/>
      <c r="V22" s="41"/>
      <c r="W22" s="41"/>
      <c r="X22" s="41"/>
      <c r="Y22" s="41"/>
      <c r="AA22" s="21"/>
    </row>
    <row r="23" spans="2:27" ht="22" customHeight="1" x14ac:dyDescent="0.9">
      <c r="J23" s="41"/>
      <c r="K23" s="41"/>
      <c r="L23" s="41"/>
      <c r="M23" s="41"/>
      <c r="N23" s="41"/>
      <c r="O23" s="41"/>
      <c r="P23" s="41"/>
      <c r="Q23" s="41"/>
      <c r="R23" s="41"/>
      <c r="S23" s="41"/>
      <c r="T23" s="41"/>
      <c r="U23" s="41"/>
      <c r="V23" s="41"/>
      <c r="W23" s="41"/>
      <c r="X23" s="41"/>
      <c r="Y23" s="41"/>
    </row>
  </sheetData>
  <sheetProtection algorithmName="SHA-512" hashValue="0qzuxVR7S3INoT+q3dJ4Uo56Uo7wYo66uZ6H4gVb+QFIjM1qrPj93Vu2GS4i6U28GiBrcgy7Q9k294s8wkyqoA==" saltValue="la756q/egt2fH1CwvdVPgg==" spinCount="100000" sheet="1" objects="1" scenarios="1"/>
  <mergeCells count="2">
    <mergeCell ref="C2:D2"/>
    <mergeCell ref="F4:K22"/>
  </mergeCells>
  <conditionalFormatting sqref="D5:D22">
    <cfRule type="expression" dxfId="13" priority="1">
      <formula>$C$2="Please confirm your acceptance of the Terms of Use"</formula>
    </cfRule>
    <cfRule type="expression" dxfId="12" priority="2">
      <formula>$C$2="Please refer to Front Page"</formula>
    </cfRule>
  </conditionalFormatting>
  <dataValidations count="1">
    <dataValidation type="whole" allowBlank="1" showInputMessage="1" showErrorMessage="1" sqref="C5:C22" xr:uid="{AE7C352C-8BD7-4E27-9B2C-71C1AF0D86C7}">
      <formula1>0</formula1>
      <formula2>10000000000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6EA5114-1070-4BBF-A524-78967F124363}">
          <x14:formula1>
            <xm:f>Lists!$I$1:$I$11</xm:f>
          </x14:formula1>
          <xm:sqref>B5:B22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15FFE-BBF2-403B-A8F6-9DDBF2AE2468}">
  <sheetPr codeName="Sheet12">
    <tabColor theme="9" tint="0.39997558519241921"/>
  </sheetPr>
  <dimension ref="A1:Y23"/>
  <sheetViews>
    <sheetView showGridLines="0" showRowColHeaders="0" workbookViewId="0">
      <selection activeCell="B5" sqref="B5"/>
    </sheetView>
  </sheetViews>
  <sheetFormatPr defaultColWidth="0" defaultRowHeight="21.5" zeroHeight="1" x14ac:dyDescent="0.35"/>
  <cols>
    <col min="1" max="1" width="3.453125" style="38" customWidth="1"/>
    <col min="2" max="2" width="20.1796875" style="38" customWidth="1"/>
    <col min="3" max="3" width="21.26953125" style="38" customWidth="1"/>
    <col min="4" max="4" width="47.81640625" style="38" customWidth="1"/>
    <col min="5" max="5" width="3.453125" style="38" customWidth="1"/>
    <col min="6" max="10" width="8.7265625" style="38" customWidth="1"/>
    <col min="11" max="25" width="0" style="38" hidden="1" customWidth="1"/>
    <col min="26" max="16384" width="8.7265625" style="38" hidden="1"/>
  </cols>
  <sheetData>
    <row r="1" spans="2:25" ht="14.5" customHeight="1" x14ac:dyDescent="0.35"/>
    <row r="2" spans="2:25" x14ac:dyDescent="0.35">
      <c r="B2" s="39" t="s">
        <v>80</v>
      </c>
      <c r="C2" s="166" t="str">
        <f>IF(Lists!W6="LOCKED","Please confirm your acceptance of the Terms of Use",SUM(D5:D22))</f>
        <v>Please confirm your acceptance of the Terms of Use</v>
      </c>
      <c r="D2" s="166"/>
    </row>
    <row r="3" spans="2:25" ht="14.5" customHeight="1" thickBot="1" x14ac:dyDescent="0.4">
      <c r="C3" s="40"/>
    </row>
    <row r="4" spans="2:25" ht="22" customHeight="1" thickTop="1" x14ac:dyDescent="0.35">
      <c r="B4" s="26" t="s">
        <v>110</v>
      </c>
      <c r="C4" s="26" t="s">
        <v>223</v>
      </c>
      <c r="D4" s="27" t="s">
        <v>13</v>
      </c>
      <c r="F4" s="148" t="s">
        <v>195</v>
      </c>
      <c r="G4" s="158"/>
      <c r="H4" s="158"/>
      <c r="I4" s="159"/>
      <c r="J4" s="41"/>
      <c r="K4" s="41"/>
      <c r="L4" s="41"/>
      <c r="M4" s="41"/>
      <c r="N4" s="41"/>
      <c r="O4" s="41"/>
      <c r="P4" s="41"/>
      <c r="Q4" s="41"/>
      <c r="R4" s="41"/>
      <c r="S4" s="41"/>
      <c r="T4" s="41"/>
      <c r="U4" s="41"/>
      <c r="V4" s="41"/>
      <c r="W4" s="41"/>
      <c r="X4" s="41"/>
      <c r="Y4" s="41"/>
    </row>
    <row r="5" spans="2:25" ht="22" customHeight="1" x14ac:dyDescent="0.35">
      <c r="B5" s="28"/>
      <c r="C5" s="28"/>
      <c r="D5" s="37" t="str">
        <f>IFERROR((VLOOKUP(B5,'Look Ups'!$BH$7:$BI$17,2,FALSE)*'9. Meters For Flats'!C5),"")</f>
        <v/>
      </c>
      <c r="F5" s="160"/>
      <c r="G5" s="161"/>
      <c r="H5" s="161"/>
      <c r="I5" s="162"/>
      <c r="J5" s="41"/>
      <c r="K5" s="41"/>
      <c r="L5" s="41"/>
      <c r="M5" s="41"/>
      <c r="N5" s="41"/>
      <c r="O5" s="41"/>
      <c r="P5" s="41"/>
      <c r="Q5" s="41"/>
      <c r="R5" s="41"/>
      <c r="S5" s="41"/>
      <c r="T5" s="41"/>
      <c r="U5" s="41"/>
      <c r="V5" s="41"/>
      <c r="W5" s="41"/>
      <c r="X5" s="41"/>
      <c r="Y5" s="41"/>
    </row>
    <row r="6" spans="2:25" ht="22" customHeight="1" x14ac:dyDescent="0.35">
      <c r="B6" s="28"/>
      <c r="C6" s="28"/>
      <c r="D6" s="37" t="str">
        <f>IFERROR((VLOOKUP(B6,'Look Ups'!$BH$7:$BI$17,2,FALSE)*'9. Meters For Flats'!C6),"")</f>
        <v/>
      </c>
      <c r="F6" s="160"/>
      <c r="G6" s="161"/>
      <c r="H6" s="161"/>
      <c r="I6" s="162"/>
      <c r="J6" s="41"/>
      <c r="K6" s="41"/>
      <c r="L6" s="41"/>
      <c r="M6" s="41"/>
      <c r="N6" s="41"/>
      <c r="O6" s="41"/>
      <c r="P6" s="41"/>
      <c r="Q6" s="41"/>
      <c r="R6" s="41"/>
      <c r="S6" s="41"/>
      <c r="T6" s="41"/>
      <c r="U6" s="41"/>
      <c r="V6" s="41"/>
      <c r="W6" s="41"/>
      <c r="X6" s="41"/>
      <c r="Y6" s="41"/>
    </row>
    <row r="7" spans="2:25" ht="22" customHeight="1" x14ac:dyDescent="0.35">
      <c r="B7" s="28"/>
      <c r="C7" s="28"/>
      <c r="D7" s="37" t="str">
        <f>IFERROR((VLOOKUP(B7,'Look Ups'!$BH$7:$BI$17,2,FALSE)*'9. Meters For Flats'!C7),"")</f>
        <v/>
      </c>
      <c r="F7" s="160"/>
      <c r="G7" s="161"/>
      <c r="H7" s="161"/>
      <c r="I7" s="162"/>
      <c r="J7" s="41"/>
      <c r="K7" s="41"/>
      <c r="L7" s="41"/>
      <c r="M7" s="41"/>
      <c r="N7" s="41"/>
      <c r="O7" s="41"/>
      <c r="P7" s="41"/>
      <c r="Q7" s="41"/>
      <c r="R7" s="41"/>
      <c r="S7" s="41"/>
      <c r="T7" s="41"/>
      <c r="U7" s="41"/>
      <c r="V7" s="41"/>
      <c r="W7" s="41"/>
      <c r="X7" s="41"/>
      <c r="Y7" s="41"/>
    </row>
    <row r="8" spans="2:25" ht="22" customHeight="1" x14ac:dyDescent="0.35">
      <c r="B8" s="28"/>
      <c r="C8" s="28"/>
      <c r="D8" s="37" t="str">
        <f>IFERROR((VLOOKUP(B8,'Look Ups'!$BH$7:$BI$17,2,FALSE)*'9. Meters For Flats'!C8),"")</f>
        <v/>
      </c>
      <c r="F8" s="160"/>
      <c r="G8" s="161"/>
      <c r="H8" s="161"/>
      <c r="I8" s="162"/>
      <c r="J8" s="41"/>
      <c r="K8" s="41"/>
      <c r="L8" s="41"/>
      <c r="M8" s="41"/>
      <c r="N8" s="41"/>
      <c r="O8" s="41"/>
      <c r="P8" s="41"/>
      <c r="Q8" s="41"/>
      <c r="R8" s="41"/>
      <c r="S8" s="41"/>
      <c r="T8" s="41"/>
      <c r="U8" s="41"/>
      <c r="V8" s="41"/>
      <c r="W8" s="41"/>
      <c r="X8" s="41"/>
      <c r="Y8" s="41"/>
    </row>
    <row r="9" spans="2:25" ht="22" customHeight="1" x14ac:dyDescent="0.35">
      <c r="B9" s="28"/>
      <c r="C9" s="28"/>
      <c r="D9" s="37" t="str">
        <f>IFERROR((VLOOKUP(B9,'Look Ups'!$BH$7:$BI$17,2,FALSE)*'9. Meters For Flats'!C9),"")</f>
        <v/>
      </c>
      <c r="F9" s="160"/>
      <c r="G9" s="161"/>
      <c r="H9" s="161"/>
      <c r="I9" s="162"/>
      <c r="J9" s="41"/>
      <c r="K9" s="41"/>
      <c r="L9" s="41"/>
      <c r="M9" s="41"/>
      <c r="N9" s="41"/>
      <c r="O9" s="41"/>
      <c r="P9" s="41"/>
      <c r="Q9" s="41"/>
      <c r="R9" s="41"/>
      <c r="S9" s="41"/>
      <c r="T9" s="41"/>
      <c r="U9" s="41"/>
      <c r="V9" s="41"/>
      <c r="W9" s="41"/>
      <c r="X9" s="41"/>
      <c r="Y9" s="41"/>
    </row>
    <row r="10" spans="2:25" ht="22" customHeight="1" x14ac:dyDescent="0.35">
      <c r="B10" s="28"/>
      <c r="C10" s="28"/>
      <c r="D10" s="37" t="str">
        <f>IFERROR((VLOOKUP(B10,'Look Ups'!$BH$7:$BI$17,2,FALSE)*'9. Meters For Flats'!C10),"")</f>
        <v/>
      </c>
      <c r="F10" s="160"/>
      <c r="G10" s="161"/>
      <c r="H10" s="161"/>
      <c r="I10" s="162"/>
      <c r="J10" s="41"/>
      <c r="K10" s="41"/>
      <c r="L10" s="41"/>
      <c r="M10" s="41"/>
      <c r="N10" s="41"/>
      <c r="O10" s="41"/>
      <c r="P10" s="41"/>
      <c r="Q10" s="41"/>
      <c r="R10" s="41"/>
      <c r="S10" s="41"/>
      <c r="T10" s="41"/>
      <c r="U10" s="41"/>
      <c r="V10" s="41"/>
      <c r="W10" s="41"/>
      <c r="X10" s="41"/>
      <c r="Y10" s="41"/>
    </row>
    <row r="11" spans="2:25" ht="22" customHeight="1" x14ac:dyDescent="0.35">
      <c r="B11" s="28"/>
      <c r="C11" s="28"/>
      <c r="D11" s="37" t="str">
        <f>IFERROR((VLOOKUP(B11,'Look Ups'!$BH$7:$BI$17,2,FALSE)*'9. Meters For Flats'!C11),"")</f>
        <v/>
      </c>
      <c r="F11" s="160"/>
      <c r="G11" s="161"/>
      <c r="H11" s="161"/>
      <c r="I11" s="162"/>
      <c r="J11" s="41"/>
      <c r="K11" s="41"/>
      <c r="L11" s="41"/>
      <c r="M11" s="41"/>
      <c r="N11" s="41"/>
      <c r="O11" s="41"/>
      <c r="P11" s="41"/>
      <c r="Q11" s="41"/>
      <c r="R11" s="41"/>
      <c r="S11" s="41"/>
      <c r="T11" s="41"/>
      <c r="U11" s="41"/>
      <c r="V11" s="41"/>
      <c r="W11" s="41"/>
      <c r="X11" s="41"/>
      <c r="Y11" s="41"/>
    </row>
    <row r="12" spans="2:25" ht="22" customHeight="1" x14ac:dyDescent="0.35">
      <c r="B12" s="28"/>
      <c r="C12" s="28"/>
      <c r="D12" s="37" t="str">
        <f>IFERROR((VLOOKUP(B12,'Look Ups'!$BH$7:$BI$17,2,FALSE)*'9. Meters For Flats'!C12),"")</f>
        <v/>
      </c>
      <c r="F12" s="160"/>
      <c r="G12" s="161"/>
      <c r="H12" s="161"/>
      <c r="I12" s="162"/>
      <c r="J12" s="41"/>
      <c r="K12" s="41"/>
      <c r="L12" s="41"/>
      <c r="M12" s="41"/>
      <c r="N12" s="41"/>
      <c r="O12" s="41"/>
      <c r="P12" s="41"/>
      <c r="Q12" s="41"/>
      <c r="R12" s="41"/>
      <c r="S12" s="41"/>
      <c r="T12" s="41"/>
      <c r="U12" s="41"/>
      <c r="V12" s="41"/>
      <c r="W12" s="41"/>
      <c r="X12" s="41"/>
      <c r="Y12" s="41"/>
    </row>
    <row r="13" spans="2:25" ht="22" customHeight="1" x14ac:dyDescent="0.35">
      <c r="B13" s="28"/>
      <c r="C13" s="28"/>
      <c r="D13" s="37" t="str">
        <f>IFERROR((VLOOKUP(B13,'Look Ups'!$BH$7:$BI$17,2,FALSE)*'9. Meters For Flats'!C13),"")</f>
        <v/>
      </c>
      <c r="F13" s="160"/>
      <c r="G13" s="161"/>
      <c r="H13" s="161"/>
      <c r="I13" s="162"/>
      <c r="J13" s="41"/>
      <c r="K13" s="41"/>
      <c r="L13" s="41"/>
      <c r="M13" s="41"/>
      <c r="N13" s="41"/>
      <c r="O13" s="41"/>
      <c r="P13" s="41"/>
      <c r="Q13" s="41"/>
      <c r="R13" s="41"/>
      <c r="S13" s="41"/>
      <c r="T13" s="41"/>
      <c r="U13" s="41"/>
      <c r="V13" s="41"/>
      <c r="W13" s="41"/>
      <c r="X13" s="41"/>
      <c r="Y13" s="41"/>
    </row>
    <row r="14" spans="2:25" ht="22" customHeight="1" x14ac:dyDescent="0.35">
      <c r="B14" s="28"/>
      <c r="C14" s="28"/>
      <c r="D14" s="37" t="str">
        <f>IFERROR((VLOOKUP(B14,'Look Ups'!$BH$7:$BI$17,2,FALSE)*'9. Meters For Flats'!C14),"")</f>
        <v/>
      </c>
      <c r="F14" s="160"/>
      <c r="G14" s="161"/>
      <c r="H14" s="161"/>
      <c r="I14" s="162"/>
      <c r="J14" s="41"/>
      <c r="K14" s="41"/>
      <c r="L14" s="41"/>
      <c r="M14" s="41"/>
      <c r="N14" s="41"/>
      <c r="O14" s="41"/>
      <c r="P14" s="41"/>
      <c r="Q14" s="41"/>
      <c r="R14" s="41"/>
      <c r="S14" s="41"/>
      <c r="T14" s="41"/>
      <c r="U14" s="41"/>
      <c r="V14" s="41"/>
      <c r="W14" s="41"/>
      <c r="X14" s="41"/>
      <c r="Y14" s="41"/>
    </row>
    <row r="15" spans="2:25" ht="22" customHeight="1" x14ac:dyDescent="0.35">
      <c r="B15" s="28"/>
      <c r="C15" s="28"/>
      <c r="D15" s="37" t="str">
        <f>IFERROR((VLOOKUP(B15,'Look Ups'!$BH$7:$BI$17,2,FALSE)*'9. Meters For Flats'!C15),"")</f>
        <v/>
      </c>
      <c r="F15" s="160"/>
      <c r="G15" s="161"/>
      <c r="H15" s="161"/>
      <c r="I15" s="162"/>
      <c r="J15" s="41"/>
      <c r="K15" s="41"/>
      <c r="L15" s="41"/>
      <c r="M15" s="41"/>
      <c r="N15" s="41"/>
      <c r="O15" s="41"/>
      <c r="P15" s="41"/>
      <c r="Q15" s="41"/>
      <c r="R15" s="41"/>
      <c r="S15" s="41"/>
      <c r="T15" s="41"/>
      <c r="U15" s="41"/>
      <c r="V15" s="41"/>
      <c r="W15" s="41"/>
      <c r="X15" s="41"/>
      <c r="Y15" s="41"/>
    </row>
    <row r="16" spans="2:25" ht="22" customHeight="1" x14ac:dyDescent="0.35">
      <c r="B16" s="28"/>
      <c r="C16" s="28"/>
      <c r="D16" s="37" t="str">
        <f>IFERROR((VLOOKUP(B16,'Look Ups'!$BH$7:$BI$17,2,FALSE)*'9. Meters For Flats'!C16),"")</f>
        <v/>
      </c>
      <c r="F16" s="160"/>
      <c r="G16" s="161"/>
      <c r="H16" s="161"/>
      <c r="I16" s="162"/>
      <c r="J16" s="41"/>
      <c r="K16" s="41"/>
      <c r="L16" s="41"/>
      <c r="M16" s="41"/>
      <c r="N16" s="41"/>
      <c r="O16" s="41"/>
      <c r="P16" s="41"/>
      <c r="Q16" s="41"/>
      <c r="R16" s="41"/>
      <c r="S16" s="41"/>
      <c r="T16" s="41"/>
      <c r="U16" s="41"/>
      <c r="V16" s="41"/>
      <c r="W16" s="41"/>
      <c r="X16" s="41"/>
      <c r="Y16" s="41"/>
    </row>
    <row r="17" spans="2:25" ht="22" customHeight="1" x14ac:dyDescent="0.35">
      <c r="B17" s="28"/>
      <c r="C17" s="28"/>
      <c r="D17" s="37" t="str">
        <f>IFERROR((VLOOKUP(B17,'Look Ups'!$BH$7:$BI$17,2,FALSE)*'9. Meters For Flats'!C17),"")</f>
        <v/>
      </c>
      <c r="F17" s="160"/>
      <c r="G17" s="161"/>
      <c r="H17" s="161"/>
      <c r="I17" s="162"/>
      <c r="J17" s="41"/>
      <c r="K17" s="41"/>
      <c r="L17" s="41"/>
      <c r="M17" s="41"/>
      <c r="N17" s="41"/>
      <c r="O17" s="41"/>
      <c r="P17" s="41"/>
      <c r="Q17" s="41"/>
      <c r="R17" s="41"/>
      <c r="S17" s="41"/>
      <c r="T17" s="41"/>
      <c r="U17" s="41"/>
      <c r="V17" s="41"/>
      <c r="W17" s="41"/>
      <c r="X17" s="41"/>
      <c r="Y17" s="41"/>
    </row>
    <row r="18" spans="2:25" ht="22" customHeight="1" x14ac:dyDescent="0.35">
      <c r="B18" s="28"/>
      <c r="C18" s="28"/>
      <c r="D18" s="37" t="str">
        <f>IFERROR((VLOOKUP(B18,'Look Ups'!$BH$7:$BI$17,2,FALSE)*'9. Meters For Flats'!C18),"")</f>
        <v/>
      </c>
      <c r="F18" s="160"/>
      <c r="G18" s="161"/>
      <c r="H18" s="161"/>
      <c r="I18" s="162"/>
      <c r="J18" s="41"/>
      <c r="K18" s="41"/>
      <c r="L18" s="41"/>
      <c r="M18" s="41"/>
      <c r="N18" s="41"/>
      <c r="O18" s="41"/>
      <c r="P18" s="41"/>
      <c r="Q18" s="41"/>
      <c r="R18" s="41"/>
      <c r="S18" s="41"/>
      <c r="T18" s="41"/>
      <c r="U18" s="41"/>
      <c r="V18" s="41"/>
      <c r="W18" s="41"/>
      <c r="X18" s="41"/>
      <c r="Y18" s="41"/>
    </row>
    <row r="19" spans="2:25" ht="22" customHeight="1" x14ac:dyDescent="0.35">
      <c r="B19" s="28"/>
      <c r="C19" s="28"/>
      <c r="D19" s="37" t="str">
        <f>IFERROR((VLOOKUP(B19,'Look Ups'!$BH$7:$BI$17,2,FALSE)*'9. Meters For Flats'!C19),"")</f>
        <v/>
      </c>
      <c r="F19" s="160"/>
      <c r="G19" s="161"/>
      <c r="H19" s="161"/>
      <c r="I19" s="162"/>
      <c r="J19" s="41"/>
      <c r="K19" s="41"/>
      <c r="L19" s="41"/>
      <c r="M19" s="41"/>
      <c r="N19" s="41"/>
      <c r="O19" s="41"/>
      <c r="P19" s="41"/>
      <c r="Q19" s="41"/>
      <c r="R19" s="41"/>
      <c r="S19" s="41"/>
      <c r="T19" s="41"/>
      <c r="U19" s="41"/>
      <c r="V19" s="41"/>
      <c r="W19" s="41"/>
      <c r="X19" s="41"/>
      <c r="Y19" s="41"/>
    </row>
    <row r="20" spans="2:25" ht="22" customHeight="1" x14ac:dyDescent="0.35">
      <c r="B20" s="28"/>
      <c r="C20" s="28"/>
      <c r="D20" s="37" t="str">
        <f>IFERROR((VLOOKUP(B20,'Look Ups'!$BH$7:$BI$17,2,FALSE)*'9. Meters For Flats'!C20),"")</f>
        <v/>
      </c>
      <c r="F20" s="160"/>
      <c r="G20" s="161"/>
      <c r="H20" s="161"/>
      <c r="I20" s="162"/>
      <c r="J20" s="41"/>
      <c r="K20" s="41"/>
      <c r="L20" s="41"/>
      <c r="M20" s="41"/>
      <c r="N20" s="41"/>
      <c r="O20" s="41"/>
      <c r="P20" s="41"/>
      <c r="Q20" s="41"/>
      <c r="R20" s="41"/>
      <c r="S20" s="41"/>
      <c r="T20" s="41"/>
      <c r="U20" s="41"/>
      <c r="V20" s="41"/>
      <c r="W20" s="41"/>
      <c r="X20" s="41"/>
      <c r="Y20" s="41"/>
    </row>
    <row r="21" spans="2:25" ht="22" customHeight="1" x14ac:dyDescent="0.35">
      <c r="B21" s="28"/>
      <c r="C21" s="28"/>
      <c r="D21" s="37" t="str">
        <f>IFERROR((VLOOKUP(B21,'Look Ups'!$BH$7:$BI$17,2,FALSE)*'9. Meters For Flats'!C21),"")</f>
        <v/>
      </c>
      <c r="F21" s="160"/>
      <c r="G21" s="161"/>
      <c r="H21" s="161"/>
      <c r="I21" s="162"/>
      <c r="J21" s="41"/>
      <c r="K21" s="41"/>
      <c r="L21" s="41"/>
      <c r="M21" s="41"/>
      <c r="N21" s="41"/>
      <c r="O21" s="41"/>
      <c r="P21" s="41"/>
      <c r="Q21" s="41"/>
      <c r="R21" s="41"/>
      <c r="S21" s="41"/>
      <c r="T21" s="41"/>
      <c r="U21" s="41"/>
      <c r="V21" s="41"/>
      <c r="W21" s="41"/>
      <c r="X21" s="41"/>
      <c r="Y21" s="41"/>
    </row>
    <row r="22" spans="2:25" ht="22" customHeight="1" thickBot="1" x14ac:dyDescent="0.4">
      <c r="B22" s="28"/>
      <c r="C22" s="28"/>
      <c r="D22" s="37" t="str">
        <f>IFERROR((VLOOKUP(B22,'Look Ups'!$BH$7:$BI$17,2,FALSE)*'9. Meters For Flats'!C22),"")</f>
        <v/>
      </c>
      <c r="F22" s="163"/>
      <c r="G22" s="164"/>
      <c r="H22" s="164"/>
      <c r="I22" s="165"/>
      <c r="J22" s="41"/>
      <c r="K22" s="41"/>
      <c r="L22" s="41"/>
      <c r="M22" s="41"/>
      <c r="N22" s="41"/>
      <c r="O22" s="41"/>
      <c r="P22" s="41"/>
      <c r="Q22" s="41"/>
      <c r="R22" s="41"/>
      <c r="S22" s="41"/>
      <c r="T22" s="41"/>
      <c r="U22" s="41"/>
      <c r="V22" s="41"/>
      <c r="W22" s="41"/>
      <c r="X22" s="41"/>
      <c r="Y22" s="41"/>
    </row>
    <row r="23" spans="2:25" ht="22" thickTop="1" x14ac:dyDescent="0.35"/>
  </sheetData>
  <sheetProtection algorithmName="SHA-512" hashValue="TwekTJMGa+znumrryQ1wNxpg9BjLf/41kI9W9vg83klwEHb6fLBksdWnJLTSt+KM+sVAg0MkbNIgN6dwKQywKg==" saltValue="LeujFMonnReVMPIVi13k4w==" spinCount="100000" sheet="1" objects="1" scenarios="1"/>
  <mergeCells count="2">
    <mergeCell ref="C2:D2"/>
    <mergeCell ref="F4:I22"/>
  </mergeCells>
  <conditionalFormatting sqref="D5:D22">
    <cfRule type="expression" dxfId="11" priority="1">
      <formula>$C$2="Please confirm your acceptance of the Terms of Use"</formula>
    </cfRule>
    <cfRule type="expression" dxfId="10" priority="2">
      <formula>$C$2="Please refer to Front Page"</formula>
    </cfRule>
  </conditionalFormatting>
  <dataValidations count="1">
    <dataValidation type="whole" allowBlank="1" showInputMessage="1" showErrorMessage="1" sqref="C5:C22" xr:uid="{9A40880C-069F-42E6-9EFE-33A3CCBB782B}">
      <formula1>0</formula1>
      <formula2>10000000000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9ADDB18-0DC8-4F1E-853A-5F1D254B77E6}">
          <x14:formula1>
            <xm:f>Lists!$P$1:$P$2</xm:f>
          </x14:formula1>
          <xm:sqref>B5:B22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C2E6-6861-4E99-801A-65BD8D9D36F2}">
  <sheetPr codeName="Sheet13"/>
  <dimension ref="A1:Q21"/>
  <sheetViews>
    <sheetView workbookViewId="0">
      <selection activeCell="B2" sqref="B2"/>
    </sheetView>
  </sheetViews>
  <sheetFormatPr defaultColWidth="8.7265625" defaultRowHeight="21.5" x14ac:dyDescent="0.9"/>
  <cols>
    <col min="1" max="1" width="60.81640625" style="4" bestFit="1" customWidth="1"/>
    <col min="2" max="2" width="20.1796875" style="4" customWidth="1"/>
    <col min="3" max="3" width="0" style="4" hidden="1" customWidth="1"/>
    <col min="4" max="14" width="8.7265625" style="4"/>
    <col min="15" max="15" width="50.54296875" style="4" customWidth="1"/>
    <col min="16" max="16" width="10.1796875" style="4" customWidth="1"/>
    <col min="17" max="16384" width="8.7265625" style="4"/>
  </cols>
  <sheetData>
    <row r="1" spans="1:17" x14ac:dyDescent="0.9">
      <c r="A1" s="2" t="s">
        <v>80</v>
      </c>
      <c r="B1" s="2" t="str">
        <f>IF(Lists!W6="LOCKED","Please refer to Front Page",(SUM(D3:D20))+(SUM(Q3:Q6)))</f>
        <v>Please refer to Front Page</v>
      </c>
      <c r="C1" s="2"/>
      <c r="D1" s="2"/>
    </row>
    <row r="2" spans="1:17" ht="27.65" customHeight="1" x14ac:dyDescent="0.9">
      <c r="A2" s="1" t="s">
        <v>131</v>
      </c>
      <c r="B2" s="1" t="s">
        <v>174</v>
      </c>
      <c r="C2" s="1" t="s">
        <v>152</v>
      </c>
      <c r="D2" s="1" t="s">
        <v>13</v>
      </c>
      <c r="F2" s="167" t="s">
        <v>186</v>
      </c>
      <c r="G2" s="167"/>
      <c r="H2" s="167"/>
      <c r="I2" s="167"/>
      <c r="J2" s="167"/>
      <c r="K2" s="167"/>
      <c r="L2" s="167"/>
      <c r="M2" s="167"/>
      <c r="O2" s="1" t="s">
        <v>131</v>
      </c>
      <c r="P2" s="1" t="s">
        <v>153</v>
      </c>
      <c r="Q2" s="1" t="s">
        <v>13</v>
      </c>
    </row>
    <row r="3" spans="1:17" ht="21.65" customHeight="1" x14ac:dyDescent="0.9">
      <c r="A3" s="3"/>
      <c r="B3" s="3"/>
      <c r="C3" s="1" t="str">
        <f>IFERROR(VLOOKUP(A3,'Look Ups'!$BL$7:$BM$18,2,FALSE),"")</f>
        <v/>
      </c>
      <c r="D3" s="1" t="str">
        <f>IF(A3="","",IF(B3="","",IF(C3="Y",IF('10. Traffic Management'!B3&gt;5,((VLOOKUP(A3,'Look Ups'!$BL$7:$BN$14,3,FALSE))+((VLOOKUP('10. Traffic Management'!A3,'Look Ups'!$BL$7:$BO$14,4,FALSE))*('10. Traffic Management'!B3-5))),(VLOOKUP(A3,'Look Ups'!$BL$7:$BN$14,3,FALSE))),(VLOOKUP('10. Traffic Management'!A3,'Look Ups'!$BL$15:$BO$18,4,FALSE))*'10. Traffic Management'!B3)))</f>
        <v/>
      </c>
      <c r="F3" s="167"/>
      <c r="G3" s="167"/>
      <c r="H3" s="167"/>
      <c r="I3" s="167"/>
      <c r="J3" s="167"/>
      <c r="K3" s="167"/>
      <c r="L3" s="167"/>
      <c r="M3" s="167"/>
      <c r="O3" s="1" t="s">
        <v>145</v>
      </c>
      <c r="P3" s="3"/>
      <c r="Q3" s="1">
        <f>P3*62</f>
        <v>0</v>
      </c>
    </row>
    <row r="4" spans="1:17" ht="21.65" customHeight="1" x14ac:dyDescent="0.9">
      <c r="A4" s="3"/>
      <c r="B4" s="3"/>
      <c r="C4" s="1" t="str">
        <f>IFERROR(VLOOKUP(A4,'Look Ups'!$BL$7:$BM$18,2,FALSE),"")</f>
        <v/>
      </c>
      <c r="D4" s="1" t="str">
        <f>IF(A4="","",IF(B4="","",IF(C4="Y",IF('10. Traffic Management'!B4&gt;5,((VLOOKUP(A4,'Look Ups'!$BL$7:$BN$14,3,FALSE))+((VLOOKUP('10. Traffic Management'!A4,'Look Ups'!$BL$7:$BO$14,4,FALSE))*('10. Traffic Management'!B4-5))),(VLOOKUP(A4,'Look Ups'!$BL$7:$BN$14,3,FALSE))),(VLOOKUP('10. Traffic Management'!A4,'Look Ups'!$BL$15:$BO$18,4,FALSE))*'10. Traffic Management'!B4)))</f>
        <v/>
      </c>
      <c r="F4" s="167"/>
      <c r="G4" s="167"/>
      <c r="H4" s="167"/>
      <c r="I4" s="167"/>
      <c r="J4" s="167"/>
      <c r="K4" s="167"/>
      <c r="L4" s="167"/>
      <c r="M4" s="167"/>
      <c r="O4" s="1" t="s">
        <v>140</v>
      </c>
      <c r="P4" s="3"/>
      <c r="Q4" s="1">
        <f>P4*450</f>
        <v>0</v>
      </c>
    </row>
    <row r="5" spans="1:17" ht="21.65" customHeight="1" x14ac:dyDescent="0.9">
      <c r="A5" s="3"/>
      <c r="B5" s="3"/>
      <c r="C5" s="1" t="str">
        <f>IFERROR(VLOOKUP(A5,'Look Ups'!$BL$7:$BM$18,2,FALSE),"")</f>
        <v/>
      </c>
      <c r="D5" s="1"/>
      <c r="F5" s="167"/>
      <c r="G5" s="167"/>
      <c r="H5" s="167"/>
      <c r="I5" s="167"/>
      <c r="J5" s="167"/>
      <c r="K5" s="167"/>
      <c r="L5" s="167"/>
      <c r="M5" s="167"/>
      <c r="O5" s="1" t="s">
        <v>146</v>
      </c>
      <c r="P5" s="3"/>
      <c r="Q5" s="1">
        <f>P5*371</f>
        <v>0</v>
      </c>
    </row>
    <row r="6" spans="1:17" ht="21.65" customHeight="1" x14ac:dyDescent="0.9">
      <c r="A6" s="3"/>
      <c r="B6" s="3"/>
      <c r="C6" s="1" t="str">
        <f>IFERROR(VLOOKUP(A6,'Look Ups'!$BL$7:$BM$18,2,FALSE),"")</f>
        <v/>
      </c>
      <c r="D6" s="1" t="str">
        <f>IF(A6="","",IF(B6="","",IF(C6="Y",IF('10. Traffic Management'!B6&gt;5,((VLOOKUP(A6,'Look Ups'!$BL$7:$BN$14,3,FALSE))+((VLOOKUP('10. Traffic Management'!A6,'Look Ups'!$BL$7:$BO$14,4,FALSE))*('10. Traffic Management'!B6-5))),(VLOOKUP(A6,'Look Ups'!$BL$7:$BN$14,3,FALSE))),(VLOOKUP('10. Traffic Management'!A6,'Look Ups'!$BL$15:$BO$18,4,FALSE))*'10. Traffic Management'!B6)))</f>
        <v/>
      </c>
      <c r="F6" s="167"/>
      <c r="G6" s="167"/>
      <c r="H6" s="167"/>
      <c r="I6" s="167"/>
      <c r="J6" s="167"/>
      <c r="K6" s="167"/>
      <c r="L6" s="167"/>
      <c r="M6" s="167"/>
      <c r="O6" s="1" t="s">
        <v>154</v>
      </c>
      <c r="P6" s="3"/>
      <c r="Q6" s="1">
        <f>P6*62</f>
        <v>0</v>
      </c>
    </row>
    <row r="7" spans="1:17" ht="21.65" customHeight="1" x14ac:dyDescent="0.9">
      <c r="A7" s="3"/>
      <c r="B7" s="3"/>
      <c r="C7" s="1" t="str">
        <f>IFERROR(VLOOKUP(A7,'Look Ups'!$BL$7:$BM$18,2,FALSE),"")</f>
        <v/>
      </c>
      <c r="D7" s="1" t="str">
        <f>IF(A7="","",IF(B7="","",IF(C7="Y",IF('10. Traffic Management'!B7&gt;5,((VLOOKUP(A7,'Look Ups'!$BL$7:$BN$14,3,FALSE))+((VLOOKUP('10. Traffic Management'!A7,'Look Ups'!$BL$7:$BO$14,4,FALSE))*('10. Traffic Management'!B7-5))),(VLOOKUP(A7,'Look Ups'!$BL$7:$BN$14,3,FALSE))),(VLOOKUP('10. Traffic Management'!A7,'Look Ups'!$BL$15:$BO$18,4,FALSE))*'10. Traffic Management'!B7)))</f>
        <v/>
      </c>
      <c r="F7" s="167"/>
      <c r="G7" s="167"/>
      <c r="H7" s="167"/>
      <c r="I7" s="167"/>
      <c r="J7" s="167"/>
      <c r="K7" s="167"/>
      <c r="L7" s="167"/>
      <c r="M7" s="167"/>
    </row>
    <row r="8" spans="1:17" ht="21.65" customHeight="1" x14ac:dyDescent="0.9">
      <c r="A8" s="3"/>
      <c r="B8" s="3"/>
      <c r="C8" s="1" t="str">
        <f>IFERROR(VLOOKUP(A8,'Look Ups'!$BL$7:$BM$18,2,FALSE),"")</f>
        <v/>
      </c>
      <c r="D8" s="1" t="str">
        <f>IF(A8="","",IF(B8="","",IF(C8="Y",IF('10. Traffic Management'!B8&gt;5,((VLOOKUP(A8,'Look Ups'!$BL$7:$BN$14,3,FALSE))+((VLOOKUP('10. Traffic Management'!A8,'Look Ups'!$BL$7:$BO$14,4,FALSE))*('10. Traffic Management'!B8-5))),(VLOOKUP(A8,'Look Ups'!$BL$7:$BN$14,3,FALSE))),(VLOOKUP('10. Traffic Management'!A8,'Look Ups'!$BL$15:$BO$18,4,FALSE))*'10. Traffic Management'!B8)))</f>
        <v/>
      </c>
      <c r="F8" s="167"/>
      <c r="G8" s="167"/>
      <c r="H8" s="167"/>
      <c r="I8" s="167"/>
      <c r="J8" s="167"/>
      <c r="K8" s="167"/>
      <c r="L8" s="167"/>
      <c r="M8" s="167"/>
    </row>
    <row r="9" spans="1:17" ht="21.65" customHeight="1" x14ac:dyDescent="0.9">
      <c r="A9" s="3"/>
      <c r="B9" s="3"/>
      <c r="C9" s="1" t="str">
        <f>IFERROR(VLOOKUP(A9,'Look Ups'!$BL$7:$BM$18,2,FALSE),"")</f>
        <v/>
      </c>
      <c r="D9" s="1" t="str">
        <f>IF(A9="","",IF(B9="","",IF(C9="Y",IF('10. Traffic Management'!B9&gt;5,((VLOOKUP(A9,'Look Ups'!$BL$7:$BN$14,3,FALSE))+((VLOOKUP('10. Traffic Management'!A9,'Look Ups'!$BL$7:$BO$14,4,FALSE))*('10. Traffic Management'!B9-5))),(VLOOKUP(A9,'Look Ups'!$BL$7:$BN$14,3,FALSE))),(VLOOKUP('10. Traffic Management'!A9,'Look Ups'!$BL$15:$BO$18,4,FALSE))*'10. Traffic Management'!B9)))</f>
        <v/>
      </c>
      <c r="F9" s="167"/>
      <c r="G9" s="167"/>
      <c r="H9" s="167"/>
      <c r="I9" s="167"/>
      <c r="J9" s="167"/>
      <c r="K9" s="167"/>
      <c r="L9" s="167"/>
      <c r="M9" s="167"/>
    </row>
    <row r="10" spans="1:17" ht="21.65" customHeight="1" x14ac:dyDescent="0.9">
      <c r="A10" s="3"/>
      <c r="B10" s="3"/>
      <c r="C10" s="1" t="str">
        <f>IFERROR(VLOOKUP(A10,'Look Ups'!$BL$7:$BM$18,2,FALSE),"")</f>
        <v/>
      </c>
      <c r="D10" s="1" t="str">
        <f>IF(A10="","",IF(B10="","",IF(C10="Y",IF('10. Traffic Management'!B10&gt;5,((VLOOKUP(A10,'Look Ups'!$BL$7:$BN$14,3,FALSE))+((VLOOKUP('10. Traffic Management'!A10,'Look Ups'!$BL$7:$BO$14,4,FALSE))*('10. Traffic Management'!B10-5))),(VLOOKUP(A10,'Look Ups'!$BL$7:$BN$14,3,FALSE))),(VLOOKUP('10. Traffic Management'!A10,'Look Ups'!$BL$15:$BO$18,4,FALSE))*'10. Traffic Management'!B10)))</f>
        <v/>
      </c>
      <c r="F10" s="167"/>
      <c r="G10" s="167"/>
      <c r="H10" s="167"/>
      <c r="I10" s="167"/>
      <c r="J10" s="167"/>
      <c r="K10" s="167"/>
      <c r="L10" s="167"/>
      <c r="M10" s="167"/>
    </row>
    <row r="11" spans="1:17" ht="21.65" customHeight="1" x14ac:dyDescent="0.9">
      <c r="A11" s="3"/>
      <c r="B11" s="3"/>
      <c r="C11" s="1" t="str">
        <f>IFERROR(VLOOKUP(A11,'Look Ups'!$BL$7:$BM$18,2,FALSE),"")</f>
        <v/>
      </c>
      <c r="D11" s="1" t="str">
        <f>IF(A11="","",IF(B11="","",IF(C11="Y",IF('10. Traffic Management'!B11&gt;5,((VLOOKUP(A11,'Look Ups'!$BL$7:$BN$14,3,FALSE))+((VLOOKUP('10. Traffic Management'!A11,'Look Ups'!$BL$7:$BO$14,4,FALSE))*('10. Traffic Management'!B11-5))),(VLOOKUP(A11,'Look Ups'!$BL$7:$BN$14,3,FALSE))),(VLOOKUP('10. Traffic Management'!A11,'Look Ups'!$BL$15:$BO$18,4,FALSE))*'10. Traffic Management'!B11)))</f>
        <v/>
      </c>
      <c r="F11" s="167"/>
      <c r="G11" s="167"/>
      <c r="H11" s="167"/>
      <c r="I11" s="167"/>
      <c r="J11" s="167"/>
      <c r="K11" s="167"/>
      <c r="L11" s="167"/>
      <c r="M11" s="167"/>
    </row>
    <row r="12" spans="1:17" ht="21.65" customHeight="1" x14ac:dyDescent="0.9">
      <c r="A12" s="3"/>
      <c r="B12" s="3"/>
      <c r="C12" s="1" t="str">
        <f>IFERROR(VLOOKUP(A12,'Look Ups'!$BL$7:$BM$18,2,FALSE),"")</f>
        <v/>
      </c>
      <c r="D12" s="1" t="str">
        <f>IF(A12="","",IF(B12="","",IF(C12="Y",IF('10. Traffic Management'!B12&gt;5,((VLOOKUP(A12,'Look Ups'!$BL$7:$BN$14,3,FALSE))+((VLOOKUP('10. Traffic Management'!A12,'Look Ups'!$BL$7:$BO$14,4,FALSE))*('10. Traffic Management'!B12-5))),(VLOOKUP(A12,'Look Ups'!$BL$7:$BN$14,3,FALSE))),(VLOOKUP('10. Traffic Management'!A12,'Look Ups'!$BL$15:$BO$18,4,FALSE))*'10. Traffic Management'!B12)))</f>
        <v/>
      </c>
      <c r="F12" s="167"/>
      <c r="G12" s="167"/>
      <c r="H12" s="167"/>
      <c r="I12" s="167"/>
      <c r="J12" s="167"/>
      <c r="K12" s="167"/>
      <c r="L12" s="167"/>
      <c r="M12" s="167"/>
    </row>
    <row r="13" spans="1:17" ht="21.65" customHeight="1" x14ac:dyDescent="0.9">
      <c r="A13" s="3"/>
      <c r="B13" s="3"/>
      <c r="C13" s="1" t="str">
        <f>IFERROR(VLOOKUP(A13,'Look Ups'!$BL$7:$BM$18,2,FALSE),"")</f>
        <v/>
      </c>
      <c r="D13" s="1" t="str">
        <f>IF(A13="","",IF(B13="","",IF(C13="Y",IF('10. Traffic Management'!B13&gt;5,((VLOOKUP(A13,'Look Ups'!$BL$7:$BN$14,3,FALSE))+((VLOOKUP('10. Traffic Management'!A13,'Look Ups'!$BL$7:$BO$14,4,FALSE))*('10. Traffic Management'!B13-5))),(VLOOKUP(A13,'Look Ups'!$BL$7:$BN$14,3,FALSE))),(VLOOKUP('10. Traffic Management'!A13,'Look Ups'!$BL$15:$BO$18,4,FALSE))*'10. Traffic Management'!B13)))</f>
        <v/>
      </c>
      <c r="F13" s="167"/>
      <c r="G13" s="167"/>
      <c r="H13" s="167"/>
      <c r="I13" s="167"/>
      <c r="J13" s="167"/>
      <c r="K13" s="167"/>
      <c r="L13" s="167"/>
      <c r="M13" s="167"/>
    </row>
    <row r="14" spans="1:17" ht="21.65" customHeight="1" x14ac:dyDescent="0.9">
      <c r="A14" s="3"/>
      <c r="B14" s="3"/>
      <c r="C14" s="1" t="str">
        <f>IFERROR(VLOOKUP(A14,'Look Ups'!$BL$7:$BM$18,2,FALSE),"")</f>
        <v/>
      </c>
      <c r="D14" s="1" t="str">
        <f>IF(A14="","",IF(B14="","",IF(C14="Y",IF('10. Traffic Management'!B14&gt;5,((VLOOKUP(A14,'Look Ups'!$BL$7:$BN$14,3,FALSE))+((VLOOKUP('10. Traffic Management'!A14,'Look Ups'!$BL$7:$BO$14,4,FALSE))*('10. Traffic Management'!B14-5))),(VLOOKUP(A14,'Look Ups'!$BL$7:$BN$14,3,FALSE))),(VLOOKUP('10. Traffic Management'!A14,'Look Ups'!$BL$15:$BO$18,4,FALSE))*'10. Traffic Management'!B14)))</f>
        <v/>
      </c>
      <c r="F14" s="167"/>
      <c r="G14" s="167"/>
      <c r="H14" s="167"/>
      <c r="I14" s="167"/>
      <c r="J14" s="167"/>
      <c r="K14" s="167"/>
      <c r="L14" s="167"/>
      <c r="M14" s="167"/>
    </row>
    <row r="15" spans="1:17" ht="21.65" customHeight="1" x14ac:dyDescent="1.1499999999999999">
      <c r="A15" s="3"/>
      <c r="B15" s="3"/>
      <c r="C15" s="1" t="str">
        <f>IFERROR(VLOOKUP(A15,'Look Ups'!$BL$7:$BM$18,2,FALSE),"")</f>
        <v/>
      </c>
      <c r="D15" s="1" t="str">
        <f>IF(A15="","",IF(B15="","",IF(C15="Y",IF('10. Traffic Management'!B15&gt;5,((VLOOKUP(A15,'Look Ups'!$BL$7:$BN$14,3,FALSE))+((VLOOKUP('10. Traffic Management'!A15,'Look Ups'!$BL$7:$BO$14,4,FALSE))*('10. Traffic Management'!B15-5))),(VLOOKUP(A15,'Look Ups'!$BL$7:$BN$14,3,FALSE))),(VLOOKUP('10. Traffic Management'!A15,'Look Ups'!$BL$15:$BO$18,4,FALSE))*'10. Traffic Management'!B15)))</f>
        <v/>
      </c>
      <c r="F15" s="7"/>
      <c r="G15" s="7"/>
      <c r="H15" s="7"/>
      <c r="I15" s="7"/>
      <c r="J15" s="7"/>
      <c r="K15" s="7"/>
      <c r="L15" s="7"/>
      <c r="M15" s="7"/>
    </row>
    <row r="16" spans="1:17" ht="21.65" customHeight="1" x14ac:dyDescent="1.1499999999999999">
      <c r="A16" s="3"/>
      <c r="B16" s="3"/>
      <c r="C16" s="1" t="str">
        <f>IFERROR(VLOOKUP(A16,'Look Ups'!$BL$7:$BM$18,2,FALSE),"")</f>
        <v/>
      </c>
      <c r="D16" s="1" t="str">
        <f>IF(A16="","",IF(B16="","",IF(C16="Y",IF('10. Traffic Management'!B16&gt;5,((VLOOKUP(A16,'Look Ups'!$BL$7:$BN$14,3,FALSE))+((VLOOKUP('10. Traffic Management'!A16,'Look Ups'!$BL$7:$BO$14,4,FALSE))*('10. Traffic Management'!B16-5))),(VLOOKUP(A16,'Look Ups'!$BL$7:$BN$14,3,FALSE))),(VLOOKUP('10. Traffic Management'!A16,'Look Ups'!$BL$15:$BO$18,4,FALSE))*'10. Traffic Management'!B16)))</f>
        <v/>
      </c>
      <c r="F16" s="7"/>
      <c r="G16" s="7"/>
      <c r="H16" s="7"/>
      <c r="I16" s="7"/>
      <c r="J16" s="7"/>
      <c r="K16" s="7"/>
      <c r="L16" s="7"/>
      <c r="M16" s="7"/>
    </row>
    <row r="17" spans="1:13" ht="21.65" customHeight="1" x14ac:dyDescent="1.1499999999999999">
      <c r="A17" s="3"/>
      <c r="B17" s="3"/>
      <c r="C17" s="1" t="str">
        <f>IFERROR(VLOOKUP(A17,'Look Ups'!$BL$7:$BM$18,2,FALSE),"")</f>
        <v/>
      </c>
      <c r="D17" s="1" t="str">
        <f>IF(A17="","",IF(B17="","",IF(C17="Y",IF('10. Traffic Management'!B17&gt;5,((VLOOKUP(A17,'Look Ups'!$BL$7:$BN$14,3,FALSE))+((VLOOKUP('10. Traffic Management'!A17,'Look Ups'!$BL$7:$BO$14,4,FALSE))*('10. Traffic Management'!B17-5))),(VLOOKUP(A17,'Look Ups'!$BL$7:$BN$14,3,FALSE))),(VLOOKUP('10. Traffic Management'!A17,'Look Ups'!$BL$15:$BO$18,4,FALSE))*'10. Traffic Management'!B17)))</f>
        <v/>
      </c>
      <c r="F17" s="7"/>
      <c r="G17" s="7"/>
      <c r="H17" s="7"/>
      <c r="I17" s="7"/>
      <c r="J17" s="7"/>
      <c r="K17" s="7"/>
      <c r="L17" s="7"/>
      <c r="M17" s="7"/>
    </row>
    <row r="18" spans="1:13" x14ac:dyDescent="0.9">
      <c r="A18" s="3"/>
      <c r="B18" s="3"/>
      <c r="C18" s="1" t="str">
        <f>IFERROR(VLOOKUP(A18,'Look Ups'!$BL$7:$BM$18,2,FALSE),"")</f>
        <v/>
      </c>
      <c r="D18" s="1" t="str">
        <f>IF(A18="","",IF(B18="","",IF(C18="Y",IF('10. Traffic Management'!B18&gt;5,((VLOOKUP(A18,'Look Ups'!$BL$7:$BN$14,3,FALSE))+((VLOOKUP('10. Traffic Management'!A18,'Look Ups'!$BL$7:$BO$14,4,FALSE))*('10. Traffic Management'!B18-5))),(VLOOKUP(A18,'Look Ups'!$BL$7:$BN$14,3,FALSE))),(VLOOKUP('10. Traffic Management'!A18,'Look Ups'!$BL$15:$BO$18,4,FALSE))*'10. Traffic Management'!B18)))</f>
        <v/>
      </c>
      <c r="F18" s="5"/>
      <c r="G18" s="5"/>
      <c r="H18" s="5"/>
      <c r="I18" s="5"/>
      <c r="J18" s="5"/>
      <c r="K18" s="5"/>
      <c r="L18" s="5"/>
      <c r="M18" s="5"/>
    </row>
    <row r="19" spans="1:13" x14ac:dyDescent="0.9">
      <c r="A19" s="3"/>
      <c r="B19" s="3"/>
      <c r="C19" s="1" t="str">
        <f>IFERROR(VLOOKUP(A19,'Look Ups'!$BL$7:$BM$18,2,FALSE),"")</f>
        <v/>
      </c>
      <c r="D19" s="1" t="str">
        <f>IF(A19="","",IF(B19="","",IF(C19="Y",IF('10. Traffic Management'!B19&gt;5,((VLOOKUP(A19,'Look Ups'!$BL$7:$BN$14,3,FALSE))+((VLOOKUP('10. Traffic Management'!A19,'Look Ups'!$BL$7:$BO$14,4,FALSE))*('10. Traffic Management'!B19-5))),(VLOOKUP(A19,'Look Ups'!$BL$7:$BN$14,3,FALSE))),(VLOOKUP('10. Traffic Management'!A19,'Look Ups'!$BL$15:$BO$18,4,FALSE))*'10. Traffic Management'!B19)))</f>
        <v/>
      </c>
      <c r="F19" s="5"/>
      <c r="G19" s="5"/>
      <c r="H19" s="5"/>
      <c r="I19" s="5"/>
      <c r="J19" s="5"/>
      <c r="K19" s="5"/>
      <c r="L19" s="5"/>
      <c r="M19" s="5"/>
    </row>
    <row r="20" spans="1:13" x14ac:dyDescent="0.9">
      <c r="A20" s="3"/>
      <c r="B20" s="3"/>
      <c r="C20" s="1" t="str">
        <f>IFERROR(VLOOKUP(A20,'Look Ups'!$BL$7:$BM$18,2,FALSE),"")</f>
        <v/>
      </c>
      <c r="D20" s="1" t="str">
        <f>IF(A20="","",IF(B20="","",IF(C20="Y",IF('10. Traffic Management'!B20&gt;5,((VLOOKUP(A20,'Look Ups'!$BL$7:$BN$14,3,FALSE))+((VLOOKUP('10. Traffic Management'!A20,'Look Ups'!$BL$7:$BO$14,4,FALSE))*('10. Traffic Management'!B20-5))),(VLOOKUP(A20,'Look Ups'!$BL$7:$BN$14,3,FALSE))),(VLOOKUP('10. Traffic Management'!A20,'Look Ups'!$BL$15:$BO$18,4,FALSE))*'10. Traffic Management'!B20)))</f>
        <v/>
      </c>
      <c r="F20" s="5"/>
      <c r="G20" s="5"/>
      <c r="H20" s="5"/>
      <c r="I20" s="5"/>
      <c r="J20" s="5"/>
      <c r="K20" s="5"/>
      <c r="L20" s="5"/>
      <c r="M20" s="5"/>
    </row>
    <row r="21" spans="1:13" x14ac:dyDescent="0.9">
      <c r="F21" s="5"/>
      <c r="G21" s="5"/>
      <c r="H21" s="5"/>
      <c r="I21" s="5"/>
      <c r="J21" s="5"/>
      <c r="K21" s="5"/>
      <c r="L21" s="5"/>
      <c r="M21" s="5"/>
    </row>
  </sheetData>
  <mergeCells count="1">
    <mergeCell ref="F2:M14"/>
  </mergeCells>
  <conditionalFormatting sqref="D3:D20">
    <cfRule type="expression" dxfId="9" priority="2">
      <formula>$B$1="Please refer to Front Page"</formula>
    </cfRule>
  </conditionalFormatting>
  <conditionalFormatting sqref="Q3:Q6">
    <cfRule type="expression" dxfId="8" priority="1">
      <formula>$B$1="Please refer to front page"</formula>
    </cfRule>
  </conditionalFormatting>
  <dataValidations count="2">
    <dataValidation type="whole" allowBlank="1" showInputMessage="1" showErrorMessage="1" sqref="B3:B20" xr:uid="{1803EC9F-D29F-41FB-A102-8974FD459E53}">
      <formula1>0</formula1>
      <formula2>100000000</formula2>
    </dataValidation>
    <dataValidation type="whole" allowBlank="1" showInputMessage="1" showErrorMessage="1" sqref="P3:P6" xr:uid="{02486235-DD1C-499D-8CAD-7847C16C5E8E}">
      <formula1>0</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11FA7B8-4196-48B1-87D5-76AD90A4F9F4}">
          <x14:formula1>
            <xm:f>Lists!$J$1:$J$12</xm:f>
          </x14:formula1>
          <xm:sqref>A3:A20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BA66D-56D1-4939-8CDF-37BE39D820FA}">
  <sheetPr codeName="Sheet14">
    <tabColor theme="9" tint="0.39997558519241921"/>
  </sheetPr>
  <dimension ref="A1:AC23"/>
  <sheetViews>
    <sheetView showGridLines="0" showRowColHeaders="0" topLeftCell="B1" workbookViewId="0">
      <selection activeCell="E17" sqref="E17"/>
    </sheetView>
  </sheetViews>
  <sheetFormatPr defaultColWidth="0" defaultRowHeight="14.5" zeroHeight="1" x14ac:dyDescent="0.35"/>
  <cols>
    <col min="1" max="1" width="0" style="42" hidden="1" customWidth="1"/>
    <col min="2" max="2" width="3.453125" style="42" customWidth="1"/>
    <col min="3" max="3" width="21.7265625" style="42" customWidth="1"/>
    <col min="4" max="4" width="18.453125" style="42" customWidth="1"/>
    <col min="5" max="5" width="21.453125" style="42" customWidth="1"/>
    <col min="6" max="6" width="12.54296875" style="42" hidden="1" customWidth="1"/>
    <col min="7" max="7" width="15.81640625" style="42" hidden="1" customWidth="1"/>
    <col min="8" max="8" width="38.81640625" style="42" customWidth="1"/>
    <col min="9" max="9" width="3.453125" style="42" customWidth="1"/>
    <col min="10" max="12" width="8.7265625" style="42" customWidth="1"/>
    <col min="13" max="13" width="19.81640625" style="42" customWidth="1"/>
    <col min="14" max="14" width="8.7265625" style="42" customWidth="1"/>
    <col min="15" max="23" width="0" style="42" hidden="1" customWidth="1"/>
    <col min="24" max="24" width="8.7265625" style="42" customWidth="1"/>
    <col min="25" max="30" width="8.7265625" style="42" hidden="1" customWidth="1"/>
    <col min="31" max="16384" width="8.7265625" style="42" hidden="1"/>
  </cols>
  <sheetData>
    <row r="1" spans="3:29" ht="14.5" customHeight="1" x14ac:dyDescent="0.35"/>
    <row r="2" spans="3:29" ht="21.5" x14ac:dyDescent="0.35">
      <c r="C2" s="39" t="s">
        <v>80</v>
      </c>
      <c r="D2" s="166" t="str">
        <f>IF(Lists!W6="LOCKED","Please confirm your acceptance of the Terms of Use",SUM(H5:H22))</f>
        <v>Please confirm your acceptance of the Terms of Use</v>
      </c>
      <c r="E2" s="166"/>
      <c r="F2" s="166"/>
      <c r="G2" s="166"/>
      <c r="H2" s="166"/>
    </row>
    <row r="3" spans="3:29" ht="14.5" customHeight="1" thickBot="1" x14ac:dyDescent="0.4">
      <c r="C3" s="38"/>
      <c r="D3" s="40"/>
      <c r="E3" s="38"/>
      <c r="F3" s="38"/>
      <c r="G3" s="38"/>
      <c r="H3" s="38"/>
    </row>
    <row r="4" spans="3:29" ht="22" customHeight="1" x14ac:dyDescent="0.35">
      <c r="C4" s="35" t="s">
        <v>210</v>
      </c>
      <c r="D4" s="35" t="s">
        <v>212</v>
      </c>
      <c r="E4" s="35" t="s">
        <v>224</v>
      </c>
      <c r="F4" s="29" t="s">
        <v>7</v>
      </c>
      <c r="G4" s="29" t="s">
        <v>74</v>
      </c>
      <c r="H4" s="27" t="s">
        <v>77</v>
      </c>
      <c r="J4" s="132" t="s">
        <v>225</v>
      </c>
      <c r="K4" s="133"/>
      <c r="L4" s="133"/>
      <c r="M4" s="134"/>
      <c r="N4" s="41"/>
      <c r="O4" s="41"/>
      <c r="P4" s="41"/>
      <c r="Q4" s="41"/>
      <c r="R4" s="41"/>
      <c r="S4" s="41"/>
      <c r="T4" s="41"/>
      <c r="U4" s="41"/>
      <c r="V4" s="41"/>
      <c r="W4" s="41"/>
    </row>
    <row r="5" spans="3:29" ht="22" customHeight="1" x14ac:dyDescent="0.35">
      <c r="C5" s="36"/>
      <c r="D5" s="36"/>
      <c r="E5" s="36"/>
      <c r="F5" s="29" t="str">
        <f>C5&amp;D5</f>
        <v/>
      </c>
      <c r="G5" s="29" t="str">
        <f>IFERROR(VLOOKUP(F5,'Look Ups'!Y$11:Z$18,2,FALSE),"")</f>
        <v/>
      </c>
      <c r="H5" s="37" t="str">
        <f>IFERROR(G5*E5,"")</f>
        <v/>
      </c>
      <c r="J5" s="135"/>
      <c r="K5" s="136"/>
      <c r="L5" s="136"/>
      <c r="M5" s="137"/>
      <c r="N5" s="41"/>
      <c r="O5" s="41"/>
      <c r="P5" s="41"/>
      <c r="Q5" s="41"/>
      <c r="R5" s="41"/>
      <c r="S5" s="41"/>
      <c r="T5" s="41"/>
      <c r="U5" s="41"/>
      <c r="V5" s="41"/>
      <c r="W5" s="41"/>
    </row>
    <row r="6" spans="3:29" ht="22" customHeight="1" x14ac:dyDescent="0.35">
      <c r="C6" s="36"/>
      <c r="D6" s="36"/>
      <c r="E6" s="36"/>
      <c r="F6" s="29" t="str">
        <f t="shared" ref="F6:F22" si="0">C6&amp;D6</f>
        <v/>
      </c>
      <c r="G6" s="29" t="str">
        <f>IFERROR(VLOOKUP(F6,'Look Ups'!Y$11:Z$18,2,FALSE),"")</f>
        <v/>
      </c>
      <c r="H6" s="37" t="str">
        <f t="shared" ref="H6:H22" si="1">IFERROR(G6*E6,"")</f>
        <v/>
      </c>
      <c r="J6" s="135"/>
      <c r="K6" s="136"/>
      <c r="L6" s="136"/>
      <c r="M6" s="137"/>
      <c r="N6" s="41"/>
      <c r="O6" s="41"/>
      <c r="P6" s="41"/>
      <c r="Q6" s="41"/>
      <c r="R6" s="41"/>
      <c r="S6" s="41"/>
      <c r="T6" s="41"/>
      <c r="U6" s="41"/>
      <c r="V6" s="41"/>
      <c r="W6" s="41"/>
    </row>
    <row r="7" spans="3:29" ht="22" customHeight="1" x14ac:dyDescent="0.35">
      <c r="C7" s="36"/>
      <c r="D7" s="36"/>
      <c r="E7" s="36"/>
      <c r="F7" s="29" t="str">
        <f t="shared" si="0"/>
        <v/>
      </c>
      <c r="G7" s="29" t="str">
        <f>IFERROR(VLOOKUP(F7,'Look Ups'!Y$11:Z$18,2,FALSE),"")</f>
        <v/>
      </c>
      <c r="H7" s="37" t="str">
        <f t="shared" si="1"/>
        <v/>
      </c>
      <c r="J7" s="135"/>
      <c r="K7" s="136"/>
      <c r="L7" s="136"/>
      <c r="M7" s="137"/>
      <c r="N7" s="41"/>
      <c r="O7" s="41"/>
      <c r="P7" s="41"/>
      <c r="Q7" s="41"/>
      <c r="R7" s="41"/>
      <c r="S7" s="41"/>
      <c r="T7" s="41"/>
      <c r="U7" s="41"/>
      <c r="V7" s="41"/>
      <c r="W7" s="41"/>
    </row>
    <row r="8" spans="3:29" ht="22" customHeight="1" x14ac:dyDescent="0.35">
      <c r="C8" s="36"/>
      <c r="D8" s="36"/>
      <c r="E8" s="36"/>
      <c r="F8" s="29" t="str">
        <f t="shared" si="0"/>
        <v/>
      </c>
      <c r="G8" s="29" t="str">
        <f>IFERROR(VLOOKUP(F8,'Look Ups'!Y$11:Z$18,2,FALSE),"")</f>
        <v/>
      </c>
      <c r="H8" s="37" t="str">
        <f t="shared" si="1"/>
        <v/>
      </c>
      <c r="J8" s="135"/>
      <c r="K8" s="136"/>
      <c r="L8" s="136"/>
      <c r="M8" s="137"/>
      <c r="N8" s="41"/>
      <c r="O8" s="41"/>
      <c r="P8" s="41"/>
      <c r="Q8" s="41"/>
      <c r="R8" s="41"/>
      <c r="S8" s="41"/>
      <c r="T8" s="41"/>
      <c r="U8" s="41"/>
      <c r="V8" s="41"/>
      <c r="W8" s="41"/>
    </row>
    <row r="9" spans="3:29" ht="22" customHeight="1" x14ac:dyDescent="0.35">
      <c r="C9" s="36"/>
      <c r="D9" s="36"/>
      <c r="E9" s="36"/>
      <c r="F9" s="29" t="str">
        <f t="shared" si="0"/>
        <v/>
      </c>
      <c r="G9" s="29" t="str">
        <f>IFERROR(VLOOKUP(F9,'Look Ups'!Y$11:Z$18,2,FALSE),"")</f>
        <v/>
      </c>
      <c r="H9" s="37" t="str">
        <f t="shared" si="1"/>
        <v/>
      </c>
      <c r="J9" s="135"/>
      <c r="K9" s="136"/>
      <c r="L9" s="136"/>
      <c r="M9" s="137"/>
      <c r="N9" s="41"/>
      <c r="O9" s="41"/>
      <c r="P9" s="41"/>
      <c r="Q9" s="41"/>
      <c r="R9" s="41"/>
      <c r="S9" s="41"/>
      <c r="T9" s="41"/>
      <c r="U9" s="41"/>
      <c r="V9" s="41"/>
      <c r="W9" s="41"/>
    </row>
    <row r="10" spans="3:29" ht="22" customHeight="1" thickBot="1" x14ac:dyDescent="0.4">
      <c r="C10" s="36"/>
      <c r="D10" s="36"/>
      <c r="E10" s="36"/>
      <c r="F10" s="29" t="str">
        <f t="shared" si="0"/>
        <v/>
      </c>
      <c r="G10" s="29" t="str">
        <f>IFERROR(VLOOKUP(F10,'Look Ups'!Y$11:Z$18,2,FALSE),"")</f>
        <v/>
      </c>
      <c r="H10" s="37" t="str">
        <f t="shared" si="1"/>
        <v/>
      </c>
      <c r="J10" s="135"/>
      <c r="K10" s="136"/>
      <c r="L10" s="136"/>
      <c r="M10" s="137"/>
      <c r="N10" s="41"/>
      <c r="O10" s="41"/>
      <c r="P10" s="41"/>
      <c r="Q10" s="41"/>
      <c r="R10" s="41"/>
      <c r="S10" s="41"/>
      <c r="T10" s="41"/>
      <c r="U10" s="41"/>
      <c r="V10" s="41"/>
      <c r="W10" s="41"/>
    </row>
    <row r="11" spans="3:29" ht="22" customHeight="1" x14ac:dyDescent="0.35">
      <c r="C11" s="36"/>
      <c r="D11" s="36"/>
      <c r="E11" s="36"/>
      <c r="F11" s="29" t="str">
        <f t="shared" si="0"/>
        <v/>
      </c>
      <c r="G11" s="29" t="str">
        <f>IFERROR(VLOOKUP(F11,'Look Ups'!Y$11:Z$18,2,FALSE),"")</f>
        <v/>
      </c>
      <c r="H11" s="37" t="str">
        <f t="shared" si="1"/>
        <v/>
      </c>
      <c r="J11" s="135"/>
      <c r="K11" s="136"/>
      <c r="L11" s="136"/>
      <c r="M11" s="137"/>
      <c r="N11" s="41"/>
      <c r="O11" s="41"/>
      <c r="P11" s="41"/>
      <c r="Q11" s="41"/>
      <c r="R11" s="41"/>
      <c r="S11" s="41"/>
      <c r="T11" s="41"/>
      <c r="U11" s="41"/>
      <c r="V11" s="41"/>
      <c r="W11" s="41"/>
      <c r="Y11" s="168" t="s">
        <v>190</v>
      </c>
      <c r="Z11" s="169"/>
      <c r="AA11" s="169"/>
      <c r="AB11" s="169"/>
      <c r="AC11" s="170"/>
    </row>
    <row r="12" spans="3:29" ht="22" customHeight="1" x14ac:dyDescent="0.35">
      <c r="C12" s="36"/>
      <c r="D12" s="36"/>
      <c r="E12" s="36"/>
      <c r="F12" s="29" t="str">
        <f t="shared" si="0"/>
        <v/>
      </c>
      <c r="G12" s="29" t="str">
        <f>IFERROR(VLOOKUP(F12,'Look Ups'!Y$11:Z$18,2,FALSE),"")</f>
        <v/>
      </c>
      <c r="H12" s="37" t="str">
        <f t="shared" si="1"/>
        <v/>
      </c>
      <c r="J12" s="135"/>
      <c r="K12" s="136"/>
      <c r="L12" s="136"/>
      <c r="M12" s="137"/>
      <c r="N12" s="41"/>
      <c r="O12" s="41"/>
      <c r="P12" s="41"/>
      <c r="Q12" s="41"/>
      <c r="R12" s="41"/>
      <c r="S12" s="41"/>
      <c r="T12" s="41"/>
      <c r="U12" s="41"/>
      <c r="V12" s="41"/>
      <c r="W12" s="41"/>
      <c r="Y12" s="171"/>
      <c r="Z12" s="142"/>
      <c r="AA12" s="142"/>
      <c r="AB12" s="142"/>
      <c r="AC12" s="172"/>
    </row>
    <row r="13" spans="3:29" ht="22" customHeight="1" x14ac:dyDescent="0.35">
      <c r="C13" s="36"/>
      <c r="D13" s="36"/>
      <c r="E13" s="36"/>
      <c r="F13" s="29" t="str">
        <f t="shared" si="0"/>
        <v/>
      </c>
      <c r="G13" s="29" t="str">
        <f>IFERROR(VLOOKUP(F13,'Look Ups'!Y$11:Z$18,2,FALSE),"")</f>
        <v/>
      </c>
      <c r="H13" s="37" t="str">
        <f t="shared" si="1"/>
        <v/>
      </c>
      <c r="J13" s="135"/>
      <c r="K13" s="136"/>
      <c r="L13" s="136"/>
      <c r="M13" s="137"/>
      <c r="N13" s="41"/>
      <c r="O13" s="41"/>
      <c r="P13" s="41"/>
      <c r="Q13" s="41"/>
      <c r="R13" s="41"/>
      <c r="S13" s="41"/>
      <c r="T13" s="41"/>
      <c r="U13" s="41"/>
      <c r="V13" s="41"/>
      <c r="W13" s="41"/>
      <c r="Y13" s="171"/>
      <c r="Z13" s="142"/>
      <c r="AA13" s="142"/>
      <c r="AB13" s="142"/>
      <c r="AC13" s="172"/>
    </row>
    <row r="14" spans="3:29" ht="22" customHeight="1" x14ac:dyDescent="0.35">
      <c r="C14" s="36"/>
      <c r="D14" s="36"/>
      <c r="E14" s="36"/>
      <c r="F14" s="29" t="str">
        <f t="shared" si="0"/>
        <v/>
      </c>
      <c r="G14" s="29" t="str">
        <f>IFERROR(VLOOKUP(F14,'Look Ups'!Y$11:Z$18,2,FALSE),"")</f>
        <v/>
      </c>
      <c r="H14" s="37" t="str">
        <f t="shared" si="1"/>
        <v/>
      </c>
      <c r="J14" s="135"/>
      <c r="K14" s="136"/>
      <c r="L14" s="136"/>
      <c r="M14" s="137"/>
      <c r="N14" s="41"/>
      <c r="O14" s="41"/>
      <c r="P14" s="41"/>
      <c r="Q14" s="41"/>
      <c r="R14" s="41"/>
      <c r="S14" s="41"/>
      <c r="T14" s="41"/>
      <c r="U14" s="41"/>
      <c r="V14" s="41"/>
      <c r="W14" s="41"/>
      <c r="Y14" s="171"/>
      <c r="Z14" s="142"/>
      <c r="AA14" s="142"/>
      <c r="AB14" s="142"/>
      <c r="AC14" s="172"/>
    </row>
    <row r="15" spans="3:29" ht="22" customHeight="1" thickBot="1" x14ac:dyDescent="0.4">
      <c r="C15" s="36"/>
      <c r="D15" s="36"/>
      <c r="E15" s="36"/>
      <c r="F15" s="29" t="str">
        <f t="shared" si="0"/>
        <v/>
      </c>
      <c r="G15" s="29" t="str">
        <f>IFERROR(VLOOKUP(F15,'Look Ups'!Y$11:Z$18,2,FALSE),"")</f>
        <v/>
      </c>
      <c r="H15" s="37" t="str">
        <f t="shared" si="1"/>
        <v/>
      </c>
      <c r="J15" s="135"/>
      <c r="K15" s="136"/>
      <c r="L15" s="136"/>
      <c r="M15" s="137"/>
      <c r="N15" s="41"/>
      <c r="O15" s="41"/>
      <c r="P15" s="41"/>
      <c r="Q15" s="41"/>
      <c r="R15" s="41"/>
      <c r="S15" s="41"/>
      <c r="T15" s="41"/>
      <c r="U15" s="41"/>
      <c r="V15" s="41"/>
      <c r="W15" s="41"/>
      <c r="Y15" s="171"/>
      <c r="Z15" s="142"/>
      <c r="AA15" s="142"/>
      <c r="AB15" s="142"/>
      <c r="AC15" s="172"/>
    </row>
    <row r="16" spans="3:29" ht="22" customHeight="1" x14ac:dyDescent="0.35">
      <c r="C16" s="36"/>
      <c r="D16" s="36"/>
      <c r="E16" s="36"/>
      <c r="F16" s="29" t="str">
        <f t="shared" si="0"/>
        <v/>
      </c>
      <c r="G16" s="29" t="str">
        <f>IFERROR(VLOOKUP(F16,'Look Ups'!Y$11:Z$18,2,FALSE),"")</f>
        <v/>
      </c>
      <c r="H16" s="37" t="str">
        <f t="shared" si="1"/>
        <v/>
      </c>
      <c r="J16" s="176" t="s">
        <v>190</v>
      </c>
      <c r="K16" s="177"/>
      <c r="L16" s="177"/>
      <c r="M16" s="178"/>
      <c r="N16" s="41"/>
      <c r="O16" s="41"/>
      <c r="P16" s="41"/>
      <c r="Q16" s="41"/>
      <c r="R16" s="41"/>
      <c r="S16" s="41"/>
      <c r="T16" s="41"/>
      <c r="U16" s="41"/>
      <c r="V16" s="41"/>
      <c r="W16" s="41"/>
      <c r="Y16" s="171"/>
      <c r="Z16" s="142"/>
      <c r="AA16" s="142"/>
      <c r="AB16" s="142"/>
      <c r="AC16" s="172"/>
    </row>
    <row r="17" spans="3:29" ht="22" customHeight="1" thickBot="1" x14ac:dyDescent="0.4">
      <c r="C17" s="36"/>
      <c r="D17" s="36"/>
      <c r="E17" s="36"/>
      <c r="F17" s="29" t="str">
        <f t="shared" si="0"/>
        <v/>
      </c>
      <c r="G17" s="29" t="str">
        <f>IFERROR(VLOOKUP(F17,'Look Ups'!Y$11:Z$18,2,FALSE),"")</f>
        <v/>
      </c>
      <c r="H17" s="37" t="str">
        <f t="shared" si="1"/>
        <v/>
      </c>
      <c r="J17" s="179"/>
      <c r="K17" s="142"/>
      <c r="L17" s="142"/>
      <c r="M17" s="180"/>
      <c r="N17" s="41"/>
      <c r="O17" s="41"/>
      <c r="P17" s="41"/>
      <c r="Q17" s="41"/>
      <c r="R17" s="41"/>
      <c r="S17" s="41"/>
      <c r="T17" s="41"/>
      <c r="U17" s="41"/>
      <c r="V17" s="41"/>
      <c r="W17" s="41"/>
      <c r="Y17" s="173"/>
      <c r="Z17" s="174"/>
      <c r="AA17" s="174"/>
      <c r="AB17" s="174"/>
      <c r="AC17" s="175"/>
    </row>
    <row r="18" spans="3:29" ht="22" customHeight="1" x14ac:dyDescent="0.35">
      <c r="C18" s="36"/>
      <c r="D18" s="36"/>
      <c r="E18" s="36"/>
      <c r="F18" s="29" t="str">
        <f t="shared" si="0"/>
        <v/>
      </c>
      <c r="G18" s="29" t="str">
        <f>IFERROR(VLOOKUP(F18,'Look Ups'!Y$11:Z$18,2,FALSE),"")</f>
        <v/>
      </c>
      <c r="H18" s="37" t="str">
        <f t="shared" si="1"/>
        <v/>
      </c>
      <c r="J18" s="179"/>
      <c r="K18" s="142"/>
      <c r="L18" s="142"/>
      <c r="M18" s="180"/>
      <c r="N18" s="41"/>
      <c r="O18" s="41"/>
      <c r="P18" s="41"/>
      <c r="Q18" s="41"/>
      <c r="R18" s="41"/>
      <c r="S18" s="41"/>
      <c r="T18" s="41"/>
      <c r="U18" s="41"/>
      <c r="V18" s="41"/>
      <c r="W18" s="41"/>
    </row>
    <row r="19" spans="3:29" ht="22" customHeight="1" x14ac:dyDescent="0.35">
      <c r="C19" s="36"/>
      <c r="D19" s="36"/>
      <c r="E19" s="36"/>
      <c r="F19" s="29" t="str">
        <f t="shared" si="0"/>
        <v/>
      </c>
      <c r="G19" s="29" t="str">
        <f>IFERROR(VLOOKUP(F19,'Look Ups'!Y$11:Z$18,2,FALSE),"")</f>
        <v/>
      </c>
      <c r="H19" s="37" t="str">
        <f t="shared" si="1"/>
        <v/>
      </c>
      <c r="J19" s="179"/>
      <c r="K19" s="142"/>
      <c r="L19" s="142"/>
      <c r="M19" s="180"/>
      <c r="N19" s="41"/>
      <c r="O19" s="41"/>
      <c r="P19" s="41"/>
      <c r="Q19" s="41"/>
      <c r="R19" s="41"/>
      <c r="S19" s="41"/>
      <c r="T19" s="41"/>
      <c r="U19" s="41"/>
      <c r="V19" s="41"/>
      <c r="W19" s="41"/>
    </row>
    <row r="20" spans="3:29" ht="22" customHeight="1" x14ac:dyDescent="0.35">
      <c r="C20" s="36"/>
      <c r="D20" s="36"/>
      <c r="E20" s="36"/>
      <c r="F20" s="29" t="str">
        <f t="shared" si="0"/>
        <v/>
      </c>
      <c r="G20" s="29" t="str">
        <f>IFERROR(VLOOKUP(F20,'Look Ups'!Y$11:Z$18,2,FALSE),"")</f>
        <v/>
      </c>
      <c r="H20" s="37" t="str">
        <f t="shared" si="1"/>
        <v/>
      </c>
      <c r="J20" s="179"/>
      <c r="K20" s="142"/>
      <c r="L20" s="142"/>
      <c r="M20" s="180"/>
      <c r="N20" s="41"/>
      <c r="O20" s="41"/>
      <c r="P20" s="41"/>
      <c r="Q20" s="41"/>
      <c r="R20" s="41"/>
      <c r="S20" s="41"/>
      <c r="T20" s="41"/>
      <c r="U20" s="41"/>
      <c r="V20" s="41"/>
      <c r="W20" s="41"/>
    </row>
    <row r="21" spans="3:29" ht="22" customHeight="1" x14ac:dyDescent="0.35">
      <c r="C21" s="36"/>
      <c r="D21" s="36"/>
      <c r="E21" s="36"/>
      <c r="F21" s="29" t="str">
        <f t="shared" si="0"/>
        <v/>
      </c>
      <c r="G21" s="29" t="str">
        <f>IFERROR(VLOOKUP(F21,'Look Ups'!Y$11:Z$18,2,FALSE),"")</f>
        <v/>
      </c>
      <c r="H21" s="37" t="str">
        <f t="shared" si="1"/>
        <v/>
      </c>
      <c r="J21" s="179"/>
      <c r="K21" s="142"/>
      <c r="L21" s="142"/>
      <c r="M21" s="180"/>
      <c r="N21" s="41"/>
      <c r="O21" s="41"/>
      <c r="P21" s="41"/>
      <c r="Q21" s="41"/>
      <c r="R21" s="41"/>
      <c r="S21" s="41"/>
      <c r="T21" s="41"/>
      <c r="U21" s="41"/>
      <c r="V21" s="41"/>
      <c r="W21" s="41"/>
    </row>
    <row r="22" spans="3:29" ht="22" customHeight="1" thickBot="1" x14ac:dyDescent="0.4">
      <c r="C22" s="36"/>
      <c r="D22" s="36"/>
      <c r="E22" s="36"/>
      <c r="F22" s="29" t="str">
        <f t="shared" si="0"/>
        <v/>
      </c>
      <c r="G22" s="29" t="str">
        <f>IFERROR(VLOOKUP(F22,'Look Ups'!Y$11:Z$18,2,FALSE),"")</f>
        <v/>
      </c>
      <c r="H22" s="37" t="str">
        <f t="shared" si="1"/>
        <v/>
      </c>
      <c r="J22" s="181"/>
      <c r="K22" s="182"/>
      <c r="L22" s="182"/>
      <c r="M22" s="183"/>
      <c r="N22" s="41"/>
      <c r="O22" s="41"/>
      <c r="P22" s="41"/>
      <c r="Q22" s="41"/>
      <c r="R22" s="41"/>
      <c r="S22" s="41"/>
      <c r="T22" s="41"/>
      <c r="U22" s="41"/>
      <c r="V22" s="41"/>
      <c r="W22" s="41"/>
    </row>
    <row r="23" spans="3:29" x14ac:dyDescent="0.35"/>
  </sheetData>
  <sheetProtection algorithmName="SHA-512" hashValue="Y9tKlGYS32ejiIbsVuzR9ndPNMc1AXWWb8r0nafyp66nDdIiF7YCm0Ret8l3WKUMeqegLr26KyYknhtgEsPA5A==" saltValue="lmBk9cbvZerv7y9iHoeJwg==" spinCount="100000" sheet="1" objects="1" scenarios="1"/>
  <mergeCells count="4">
    <mergeCell ref="Y11:AC17"/>
    <mergeCell ref="D2:H2"/>
    <mergeCell ref="J4:M15"/>
    <mergeCell ref="J16:M22"/>
  </mergeCells>
  <conditionalFormatting sqref="H5:H22">
    <cfRule type="expression" dxfId="7" priority="1">
      <formula>$D$2="Please confirm your acceptance of the Terms of Use"</formula>
    </cfRule>
    <cfRule type="expression" dxfId="6" priority="3">
      <formula>$D$2="Please refer to Terms Of Use"</formula>
    </cfRule>
    <cfRule type="expression" dxfId="5" priority="4">
      <formula>$D$2="Please refer to Front Page"</formula>
    </cfRule>
  </conditionalFormatting>
  <dataValidations count="1">
    <dataValidation type="whole" allowBlank="1" showInputMessage="1" showErrorMessage="1" sqref="E5:E1048576" xr:uid="{63DA8E13-CBFF-455F-BC03-317FF0C911EA}">
      <formula1>1</formula1>
      <formula2>10000000000000</formula2>
    </dataValidation>
  </dataValidations>
  <hyperlinks>
    <hyperlink ref="Y11:AC17" r:id="rId1" display="You can find our Design &amp; Construction Specifications here." xr:uid="{9B502D66-C778-4391-A73B-252E1C487A5E}"/>
    <hyperlink ref="J16:M22" r:id="rId2" display="You can find our Design &amp; Construction Specifications here." xr:uid="{2EB7CC49-B4D9-42EA-96E1-544FB0C30D3C}"/>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2CDFD661-5707-49D7-9D6F-72FC5ACD1405}">
          <x14:formula1>
            <xm:f>Lists!$A$1:$A$2</xm:f>
          </x14:formula1>
          <xm:sqref>C5:C1048576</xm:sqref>
        </x14:dataValidation>
        <x14:dataValidation type="list" allowBlank="1" showInputMessage="1" showErrorMessage="1" xr:uid="{CBC4C74B-F0BB-4B6A-802F-373B2944E97B}">
          <x14:formula1>
            <xm:f>Lists!$C$1:$C$4</xm:f>
          </x14:formula1>
          <xm:sqref>D5:D1048576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148E5-BDCF-4997-8AD8-60166B8083FB}">
  <sheetPr codeName="Sheet15"/>
  <dimension ref="A1:O24"/>
  <sheetViews>
    <sheetView workbookViewId="0">
      <selection activeCell="B38" sqref="B38"/>
    </sheetView>
  </sheetViews>
  <sheetFormatPr defaultColWidth="8.7265625" defaultRowHeight="21.5" x14ac:dyDescent="0.9"/>
  <cols>
    <col min="1" max="1" width="14.453125" style="4" customWidth="1"/>
    <col min="2" max="2" width="16" style="4" customWidth="1"/>
    <col min="3" max="3" width="11.81640625" style="4" hidden="1" customWidth="1"/>
    <col min="4" max="4" width="12.54296875" style="4" customWidth="1"/>
    <col min="5" max="7" width="8.7265625" style="4"/>
    <col min="8" max="8" width="13.54296875" style="4" customWidth="1"/>
    <col min="9" max="9" width="18" style="4" customWidth="1"/>
    <col min="10" max="10" width="15.453125" style="4" customWidth="1"/>
    <col min="11" max="11" width="50.81640625" style="4" customWidth="1"/>
    <col min="12" max="12" width="47" style="4" bestFit="1" customWidth="1"/>
    <col min="13" max="13" width="12.81640625" style="4" hidden="1" customWidth="1"/>
    <col min="14" max="16384" width="8.7265625" style="4"/>
  </cols>
  <sheetData>
    <row r="1" spans="1:15" x14ac:dyDescent="0.9">
      <c r="A1" s="2" t="s">
        <v>80</v>
      </c>
      <c r="B1" s="2" t="str">
        <f>IF(Lists!W6="LOCKED","Please refer to Front Page",SUM(D4:D20)+SUM(N4:N20))</f>
        <v>Please refer to Front Page</v>
      </c>
      <c r="C1" s="2"/>
      <c r="D1" s="2"/>
    </row>
    <row r="2" spans="1:15" x14ac:dyDescent="0.9">
      <c r="A2" s="184" t="s">
        <v>155</v>
      </c>
      <c r="B2" s="184"/>
      <c r="C2" s="184"/>
      <c r="D2" s="184"/>
      <c r="H2" s="184" t="s">
        <v>156</v>
      </c>
      <c r="I2" s="184"/>
      <c r="J2" s="184"/>
      <c r="K2" s="184"/>
      <c r="L2" s="184"/>
      <c r="M2" s="184"/>
      <c r="N2" s="184"/>
      <c r="O2" s="6"/>
    </row>
    <row r="3" spans="1:15" x14ac:dyDescent="0.9">
      <c r="A3" s="1" t="s">
        <v>131</v>
      </c>
      <c r="B3" s="1" t="s">
        <v>0</v>
      </c>
      <c r="C3" s="1" t="s">
        <v>7</v>
      </c>
      <c r="D3" s="1" t="s">
        <v>13</v>
      </c>
      <c r="H3" s="1" t="s">
        <v>131</v>
      </c>
      <c r="I3" s="1" t="s">
        <v>157</v>
      </c>
      <c r="J3" s="1" t="s">
        <v>0</v>
      </c>
      <c r="K3" s="1" t="s">
        <v>158</v>
      </c>
      <c r="L3" s="1" t="s">
        <v>159</v>
      </c>
      <c r="M3" s="1" t="s">
        <v>111</v>
      </c>
      <c r="N3" s="1" t="s">
        <v>13</v>
      </c>
    </row>
    <row r="4" spans="1:15" x14ac:dyDescent="0.9">
      <c r="A4" s="3"/>
      <c r="B4" s="3"/>
      <c r="C4" s="1" t="str">
        <f>A4&amp;B4</f>
        <v/>
      </c>
      <c r="D4" s="1" t="str">
        <f>IFERROR(VLOOKUP(C4,'Look Ups'!$BS$8:$BT$15,2,FALSE),"")</f>
        <v/>
      </c>
      <c r="H4" s="3"/>
      <c r="I4" s="3"/>
      <c r="J4" s="3"/>
      <c r="K4" s="3"/>
      <c r="L4" s="3"/>
      <c r="M4" s="1" t="str">
        <f>H4&amp;I4&amp;J4</f>
        <v/>
      </c>
      <c r="N4" s="1" t="str">
        <f>IFERROR((((VLOOKUP(M4,'Look Ups'!$BX$8:$BY$31,2,FALSE))+((VLOOKUP(M4,'Look Ups'!$BX$8:$BZ$31,3,FALSE))*'12. Disconnection And Capping'!K4)+((VLOOKUP(M4,'Look Ups'!$BX$8:$CA$31,4,FALSE))*'12. Disconnection And Capping'!L4))),"")</f>
        <v/>
      </c>
    </row>
    <row r="5" spans="1:15" x14ac:dyDescent="0.9">
      <c r="A5" s="3"/>
      <c r="B5" s="3"/>
      <c r="C5" s="1" t="str">
        <f t="shared" ref="C5:C20" si="0">A5&amp;B5</f>
        <v/>
      </c>
      <c r="D5" s="1" t="str">
        <f>IFERROR(VLOOKUP(C5,'Look Ups'!$BS$8:$BT$15,2,FALSE),"")</f>
        <v/>
      </c>
      <c r="H5" s="3"/>
      <c r="I5" s="3"/>
      <c r="J5" s="3"/>
      <c r="K5" s="3"/>
      <c r="L5" s="3"/>
      <c r="M5" s="1" t="str">
        <f t="shared" ref="M5:M20" si="1">H5&amp;I5&amp;J5</f>
        <v/>
      </c>
      <c r="N5" s="1" t="str">
        <f>IFERROR((((VLOOKUP(M5,'Look Ups'!$BX$8:$BY$31,2,FALSE))+((VLOOKUP(M5,'Look Ups'!$BX$8:$BZ$31,3,FALSE))*'12. Disconnection And Capping'!K5)+((VLOOKUP(M5,'Look Ups'!$BX$8:$CA$31,4,FALSE))*'12. Disconnection And Capping'!L5))),"")</f>
        <v/>
      </c>
    </row>
    <row r="6" spans="1:15" x14ac:dyDescent="0.9">
      <c r="A6" s="3"/>
      <c r="B6" s="3"/>
      <c r="C6" s="1" t="str">
        <f t="shared" si="0"/>
        <v/>
      </c>
      <c r="D6" s="1" t="str">
        <f>IFERROR(VLOOKUP(C6,'Look Ups'!$BS$8:$BT$15,2,FALSE),"")</f>
        <v/>
      </c>
      <c r="H6" s="3"/>
      <c r="I6" s="3"/>
      <c r="J6" s="3"/>
      <c r="K6" s="3"/>
      <c r="L6" s="3"/>
      <c r="M6" s="1" t="str">
        <f t="shared" si="1"/>
        <v/>
      </c>
      <c r="N6" s="1" t="str">
        <f>IFERROR((((VLOOKUP(M6,'Look Ups'!$BX$8:$BY$31,2,FALSE))+((VLOOKUP(M6,'Look Ups'!$BX$8:$BZ$31,3,FALSE))*'12. Disconnection And Capping'!K6)+((VLOOKUP(M6,'Look Ups'!$BX$8:$CA$31,4,FALSE))*'12. Disconnection And Capping'!L6))),"")</f>
        <v/>
      </c>
    </row>
    <row r="7" spans="1:15" x14ac:dyDescent="0.9">
      <c r="A7" s="3"/>
      <c r="B7" s="3"/>
      <c r="C7" s="1" t="str">
        <f t="shared" si="0"/>
        <v/>
      </c>
      <c r="D7" s="1" t="str">
        <f>IFERROR(VLOOKUP(C7,'Look Ups'!$BS$8:$BT$15,2,FALSE),"")</f>
        <v/>
      </c>
      <c r="H7" s="3"/>
      <c r="I7" s="3"/>
      <c r="J7" s="3"/>
      <c r="K7" s="3"/>
      <c r="L7" s="3"/>
      <c r="M7" s="1" t="str">
        <f t="shared" si="1"/>
        <v/>
      </c>
      <c r="N7" s="1" t="str">
        <f>IFERROR((((VLOOKUP(M7,'Look Ups'!$BX$8:$BY$31,2,FALSE))+((VLOOKUP(M7,'Look Ups'!$BX$8:$BZ$31,3,FALSE))*'12. Disconnection And Capping'!K7)+((VLOOKUP(M7,'Look Ups'!$BX$8:$CA$31,4,FALSE))*'12. Disconnection And Capping'!L7))),"")</f>
        <v/>
      </c>
    </row>
    <row r="8" spans="1:15" x14ac:dyDescent="0.9">
      <c r="A8" s="3"/>
      <c r="B8" s="3"/>
      <c r="C8" s="1" t="str">
        <f t="shared" si="0"/>
        <v/>
      </c>
      <c r="D8" s="1" t="str">
        <f>IFERROR(VLOOKUP(C8,'Look Ups'!$BS$8:$BT$15,2,FALSE),"")</f>
        <v/>
      </c>
      <c r="H8" s="3"/>
      <c r="I8" s="3"/>
      <c r="J8" s="3"/>
      <c r="K8" s="3"/>
      <c r="L8" s="3"/>
      <c r="M8" s="1" t="str">
        <f t="shared" si="1"/>
        <v/>
      </c>
      <c r="N8" s="1" t="str">
        <f>IFERROR((((VLOOKUP(M8,'Look Ups'!$BX$8:$BY$31,2,FALSE))+((VLOOKUP(M8,'Look Ups'!$BX$8:$BZ$31,3,FALSE))*'12. Disconnection And Capping'!K8)+((VLOOKUP(M8,'Look Ups'!$BX$8:$CA$31,4,FALSE))*'12. Disconnection And Capping'!L8))),"")</f>
        <v/>
      </c>
    </row>
    <row r="9" spans="1:15" x14ac:dyDescent="0.9">
      <c r="A9" s="3"/>
      <c r="B9" s="3"/>
      <c r="C9" s="1" t="str">
        <f t="shared" si="0"/>
        <v/>
      </c>
      <c r="D9" s="1" t="str">
        <f>IFERROR(VLOOKUP(C9,'Look Ups'!$BS$8:$BT$15,2,FALSE),"")</f>
        <v/>
      </c>
      <c r="H9" s="3"/>
      <c r="I9" s="3"/>
      <c r="J9" s="3"/>
      <c r="K9" s="3"/>
      <c r="L9" s="3"/>
      <c r="M9" s="1" t="str">
        <f t="shared" si="1"/>
        <v/>
      </c>
      <c r="N9" s="1" t="str">
        <f>IFERROR((((VLOOKUP(M9,'Look Ups'!$BX$8:$BY$31,2,FALSE))+((VLOOKUP(M9,'Look Ups'!$BX$8:$BZ$31,3,FALSE))*'12. Disconnection And Capping'!K9)+((VLOOKUP(M9,'Look Ups'!$BX$8:$CA$31,4,FALSE))*'12. Disconnection And Capping'!L9))),"")</f>
        <v/>
      </c>
    </row>
    <row r="10" spans="1:15" x14ac:dyDescent="0.9">
      <c r="A10" s="3"/>
      <c r="B10" s="3"/>
      <c r="C10" s="1" t="str">
        <f t="shared" si="0"/>
        <v/>
      </c>
      <c r="D10" s="1" t="str">
        <f>IFERROR(VLOOKUP(C10,'Look Ups'!$BS$8:$BT$15,2,FALSE),"")</f>
        <v/>
      </c>
      <c r="H10" s="3"/>
      <c r="I10" s="3"/>
      <c r="J10" s="3"/>
      <c r="K10" s="3"/>
      <c r="L10" s="3"/>
      <c r="M10" s="1" t="str">
        <f t="shared" si="1"/>
        <v/>
      </c>
      <c r="N10" s="1" t="str">
        <f>IFERROR((((VLOOKUP(M10,'Look Ups'!$BX$8:$BY$31,2,FALSE))+((VLOOKUP(M10,'Look Ups'!$BX$8:$BZ$31,3,FALSE))*'12. Disconnection And Capping'!K10)+((VLOOKUP(M10,'Look Ups'!$BX$8:$CA$31,4,FALSE))*'12. Disconnection And Capping'!L10))),"")</f>
        <v/>
      </c>
    </row>
    <row r="11" spans="1:15" x14ac:dyDescent="0.9">
      <c r="A11" s="3"/>
      <c r="B11" s="3"/>
      <c r="C11" s="1" t="str">
        <f t="shared" si="0"/>
        <v/>
      </c>
      <c r="D11" s="1" t="str">
        <f>IFERROR(VLOOKUP(C11,'Look Ups'!$BS$8:$BT$15,2,FALSE),"")</f>
        <v/>
      </c>
      <c r="H11" s="3"/>
      <c r="I11" s="3"/>
      <c r="J11" s="3"/>
      <c r="K11" s="3"/>
      <c r="L11" s="3"/>
      <c r="M11" s="1" t="str">
        <f t="shared" si="1"/>
        <v/>
      </c>
      <c r="N11" s="1" t="str">
        <f>IFERROR((((VLOOKUP(M11,'Look Ups'!$BX$8:$BY$31,2,FALSE))+((VLOOKUP(M11,'Look Ups'!$BX$8:$BZ$31,3,FALSE))*'12. Disconnection And Capping'!K11)+((VLOOKUP(M11,'Look Ups'!$BX$8:$CA$31,4,FALSE))*'12. Disconnection And Capping'!L11))),"")</f>
        <v/>
      </c>
    </row>
    <row r="12" spans="1:15" x14ac:dyDescent="0.9">
      <c r="A12" s="3"/>
      <c r="B12" s="3"/>
      <c r="C12" s="1" t="str">
        <f t="shared" si="0"/>
        <v/>
      </c>
      <c r="D12" s="1" t="str">
        <f>IFERROR(VLOOKUP(C12,'Look Ups'!$BS$8:$BT$15,2,FALSE),"")</f>
        <v/>
      </c>
      <c r="H12" s="3"/>
      <c r="I12" s="3"/>
      <c r="J12" s="3"/>
      <c r="K12" s="3"/>
      <c r="L12" s="3"/>
      <c r="M12" s="1" t="str">
        <f t="shared" si="1"/>
        <v/>
      </c>
      <c r="N12" s="1" t="str">
        <f>IFERROR((((VLOOKUP(M12,'Look Ups'!$BX$8:$BY$31,2,FALSE))+((VLOOKUP(M12,'Look Ups'!$BX$8:$BZ$31,3,FALSE))*'12. Disconnection And Capping'!K12)+((VLOOKUP(M12,'Look Ups'!$BX$8:$CA$31,4,FALSE))*'12. Disconnection And Capping'!L12))),"")</f>
        <v/>
      </c>
    </row>
    <row r="13" spans="1:15" x14ac:dyDescent="0.9">
      <c r="A13" s="3"/>
      <c r="B13" s="3"/>
      <c r="C13" s="1" t="str">
        <f t="shared" si="0"/>
        <v/>
      </c>
      <c r="D13" s="1" t="str">
        <f>IFERROR(VLOOKUP(C13,'Look Ups'!$BS$8:$BT$15,2,FALSE),"")</f>
        <v/>
      </c>
      <c r="H13" s="3"/>
      <c r="I13" s="3"/>
      <c r="J13" s="3"/>
      <c r="K13" s="3"/>
      <c r="L13" s="3"/>
      <c r="M13" s="1" t="str">
        <f t="shared" si="1"/>
        <v/>
      </c>
      <c r="N13" s="1" t="str">
        <f>IFERROR((((VLOOKUP(M13,'Look Ups'!$BX$8:$BY$31,2,FALSE))+((VLOOKUP(M13,'Look Ups'!$BX$8:$BZ$31,3,FALSE))*'12. Disconnection And Capping'!K13)+((VLOOKUP(M13,'Look Ups'!$BX$8:$CA$31,4,FALSE))*'12. Disconnection And Capping'!L13))),"")</f>
        <v/>
      </c>
    </row>
    <row r="14" spans="1:15" x14ac:dyDescent="0.9">
      <c r="A14" s="3"/>
      <c r="B14" s="3"/>
      <c r="C14" s="1" t="str">
        <f t="shared" si="0"/>
        <v/>
      </c>
      <c r="D14" s="1" t="str">
        <f>IFERROR(VLOOKUP(C14,'Look Ups'!$BS$8:$BT$15,2,FALSE),"")</f>
        <v/>
      </c>
      <c r="H14" s="3"/>
      <c r="I14" s="3"/>
      <c r="J14" s="3"/>
      <c r="K14" s="3"/>
      <c r="L14" s="3"/>
      <c r="M14" s="1" t="str">
        <f t="shared" si="1"/>
        <v/>
      </c>
      <c r="N14" s="1" t="str">
        <f>IFERROR((((VLOOKUP(M14,'Look Ups'!$BX$8:$BY$31,2,FALSE))+((VLOOKUP(M14,'Look Ups'!$BX$8:$BZ$31,3,FALSE))*'12. Disconnection And Capping'!K14)+((VLOOKUP(M14,'Look Ups'!$BX$8:$CA$31,4,FALSE))*'12. Disconnection And Capping'!L14))),"")</f>
        <v/>
      </c>
    </row>
    <row r="15" spans="1:15" x14ac:dyDescent="0.9">
      <c r="A15" s="3"/>
      <c r="B15" s="3"/>
      <c r="C15" s="1" t="str">
        <f t="shared" si="0"/>
        <v/>
      </c>
      <c r="D15" s="1" t="str">
        <f>IFERROR(VLOOKUP(C15,'Look Ups'!$BS$8:$BT$15,2,FALSE),"")</f>
        <v/>
      </c>
      <c r="H15" s="3"/>
      <c r="I15" s="3"/>
      <c r="J15" s="3"/>
      <c r="K15" s="3"/>
      <c r="L15" s="3"/>
      <c r="M15" s="1" t="str">
        <f t="shared" si="1"/>
        <v/>
      </c>
      <c r="N15" s="1" t="str">
        <f>IFERROR((((VLOOKUP(M15,'Look Ups'!$BX$8:$BY$31,2,FALSE))+((VLOOKUP(M15,'Look Ups'!$BX$8:$BZ$31,3,FALSE))*'12. Disconnection And Capping'!K15)+((VLOOKUP(M15,'Look Ups'!$BX$8:$CA$31,4,FALSE))*'12. Disconnection And Capping'!L15))),"")</f>
        <v/>
      </c>
    </row>
    <row r="16" spans="1:15" x14ac:dyDescent="0.9">
      <c r="A16" s="3"/>
      <c r="B16" s="3"/>
      <c r="C16" s="1" t="str">
        <f t="shared" si="0"/>
        <v/>
      </c>
      <c r="D16" s="1" t="str">
        <f>IFERROR(VLOOKUP(C16,'Look Ups'!$BS$8:$BT$15,2,FALSE),"")</f>
        <v/>
      </c>
      <c r="H16" s="3"/>
      <c r="I16" s="3"/>
      <c r="J16" s="3"/>
      <c r="K16" s="3"/>
      <c r="L16" s="3"/>
      <c r="M16" s="1" t="str">
        <f t="shared" si="1"/>
        <v/>
      </c>
      <c r="N16" s="1" t="str">
        <f>IFERROR((((VLOOKUP(M16,'Look Ups'!$BX$8:$BY$31,2,FALSE))+((VLOOKUP(M16,'Look Ups'!$BX$8:$BZ$31,3,FALSE))*'12. Disconnection And Capping'!K16)+((VLOOKUP(M16,'Look Ups'!$BX$8:$CA$31,4,FALSE))*'12. Disconnection And Capping'!L16))),"")</f>
        <v/>
      </c>
    </row>
    <row r="17" spans="1:14" x14ac:dyDescent="0.9">
      <c r="A17" s="3"/>
      <c r="B17" s="3"/>
      <c r="C17" s="1" t="str">
        <f t="shared" si="0"/>
        <v/>
      </c>
      <c r="D17" s="1" t="str">
        <f>IFERROR(VLOOKUP(C17,'Look Ups'!$BS$8:$BT$15,2,FALSE),"")</f>
        <v/>
      </c>
      <c r="H17" s="3"/>
      <c r="I17" s="3"/>
      <c r="J17" s="3"/>
      <c r="K17" s="3"/>
      <c r="L17" s="3"/>
      <c r="M17" s="1" t="str">
        <f t="shared" si="1"/>
        <v/>
      </c>
      <c r="N17" s="1" t="str">
        <f>IFERROR((((VLOOKUP(M17,'Look Ups'!$BX$8:$BY$31,2,FALSE))+((VLOOKUP(M17,'Look Ups'!$BX$8:$BZ$31,3,FALSE))*'12. Disconnection And Capping'!K17)+((VLOOKUP(M17,'Look Ups'!$BX$8:$CA$31,4,FALSE))*'12. Disconnection And Capping'!L17))),"")</f>
        <v/>
      </c>
    </row>
    <row r="18" spans="1:14" x14ac:dyDescent="0.9">
      <c r="A18" s="3"/>
      <c r="B18" s="3"/>
      <c r="C18" s="1" t="str">
        <f t="shared" si="0"/>
        <v/>
      </c>
      <c r="D18" s="1" t="str">
        <f>IFERROR(VLOOKUP(C18,'Look Ups'!$BS$8:$BT$15,2,FALSE),"")</f>
        <v/>
      </c>
      <c r="H18" s="3"/>
      <c r="I18" s="3"/>
      <c r="J18" s="3"/>
      <c r="K18" s="3"/>
      <c r="L18" s="3"/>
      <c r="M18" s="1" t="str">
        <f t="shared" si="1"/>
        <v/>
      </c>
      <c r="N18" s="1" t="str">
        <f>IFERROR((((VLOOKUP(M18,'Look Ups'!$BX$8:$BY$31,2,FALSE))+((VLOOKUP(M18,'Look Ups'!$BX$8:$BZ$31,3,FALSE))*'12. Disconnection And Capping'!K18)+((VLOOKUP(M18,'Look Ups'!$BX$8:$CA$31,4,FALSE))*'12. Disconnection And Capping'!L18))),"")</f>
        <v/>
      </c>
    </row>
    <row r="19" spans="1:14" x14ac:dyDescent="0.9">
      <c r="A19" s="3"/>
      <c r="B19" s="3"/>
      <c r="C19" s="1" t="str">
        <f t="shared" si="0"/>
        <v/>
      </c>
      <c r="D19" s="1" t="str">
        <f>IFERROR(VLOOKUP(C19,'Look Ups'!$BS$8:$BT$15,2,FALSE),"")</f>
        <v/>
      </c>
      <c r="H19" s="3"/>
      <c r="I19" s="3"/>
      <c r="J19" s="3"/>
      <c r="K19" s="3"/>
      <c r="L19" s="3"/>
      <c r="M19" s="1" t="str">
        <f t="shared" si="1"/>
        <v/>
      </c>
      <c r="N19" s="1" t="str">
        <f>IFERROR((((VLOOKUP(M19,'Look Ups'!$BX$8:$BY$31,2,FALSE))+((VLOOKUP(M19,'Look Ups'!$BX$8:$BZ$31,3,FALSE))*'12. Disconnection And Capping'!K19)+((VLOOKUP(M19,'Look Ups'!$BX$8:$CA$31,4,FALSE))*'12. Disconnection And Capping'!L19))),"")</f>
        <v/>
      </c>
    </row>
    <row r="20" spans="1:14" x14ac:dyDescent="0.9">
      <c r="A20" s="3"/>
      <c r="B20" s="3"/>
      <c r="C20" s="1" t="str">
        <f t="shared" si="0"/>
        <v/>
      </c>
      <c r="D20" s="1" t="str">
        <f>IFERROR(VLOOKUP(C20,'Look Ups'!$BS$8:$BT$15,2,FALSE),"")</f>
        <v/>
      </c>
      <c r="H20" s="3"/>
      <c r="I20" s="3"/>
      <c r="J20" s="3"/>
      <c r="K20" s="3"/>
      <c r="L20" s="3"/>
      <c r="M20" s="1" t="str">
        <f t="shared" si="1"/>
        <v/>
      </c>
      <c r="N20" s="1" t="str">
        <f>IFERROR((((VLOOKUP(M20,'Look Ups'!$BX$8:$BY$31,2,FALSE))+((VLOOKUP(M20,'Look Ups'!$BX$8:$BZ$31,3,FALSE))*'12. Disconnection And Capping'!K20)+((VLOOKUP(M20,'Look Ups'!$BX$8:$CA$31,4,FALSE))*'12. Disconnection And Capping'!L20))),"")</f>
        <v/>
      </c>
    </row>
    <row r="22" spans="1:14" ht="27.65" customHeight="1" x14ac:dyDescent="0.9">
      <c r="B22" s="167" t="s">
        <v>185</v>
      </c>
      <c r="C22" s="167"/>
      <c r="D22" s="167"/>
      <c r="E22" s="167"/>
      <c r="F22" s="167"/>
      <c r="G22" s="167"/>
      <c r="H22" s="167"/>
      <c r="I22" s="167"/>
      <c r="J22" s="167"/>
      <c r="K22" s="167"/>
      <c r="L22" s="167"/>
    </row>
    <row r="23" spans="1:14" ht="27.65" customHeight="1" x14ac:dyDescent="0.9">
      <c r="B23" s="167"/>
      <c r="C23" s="167"/>
      <c r="D23" s="167"/>
      <c r="E23" s="167"/>
      <c r="F23" s="167"/>
      <c r="G23" s="167"/>
      <c r="H23" s="167"/>
      <c r="I23" s="167"/>
      <c r="J23" s="167"/>
      <c r="K23" s="167"/>
      <c r="L23" s="167"/>
    </row>
    <row r="24" spans="1:14" ht="27.65" customHeight="1" x14ac:dyDescent="0.9">
      <c r="B24" s="167"/>
      <c r="C24" s="167"/>
      <c r="D24" s="167"/>
      <c r="E24" s="167"/>
      <c r="F24" s="167"/>
      <c r="G24" s="167"/>
      <c r="H24" s="167"/>
      <c r="I24" s="167"/>
      <c r="J24" s="167"/>
      <c r="K24" s="167"/>
      <c r="L24" s="167"/>
    </row>
  </sheetData>
  <mergeCells count="3">
    <mergeCell ref="A2:D2"/>
    <mergeCell ref="H2:N2"/>
    <mergeCell ref="B22:L24"/>
  </mergeCells>
  <conditionalFormatting sqref="D4:D20 N4:N20">
    <cfRule type="expression" dxfId="4" priority="1">
      <formula>$B$1="Please refer to Front Page"</formula>
    </cfRule>
  </conditionalFormatting>
  <dataValidations count="1">
    <dataValidation type="whole" allowBlank="1" showInputMessage="1" showErrorMessage="1" sqref="K4:L20" xr:uid="{A406DE51-B49F-4410-9A6D-0E77E3E551F0}">
      <formula1>0</formula1>
      <formula2>10000000000000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95AAAFFB-A989-459D-8CF9-2A99A7BCDAC7}">
          <x14:formula1>
            <xm:f>Lists!$L$1:$L$2</xm:f>
          </x14:formula1>
          <xm:sqref>A4:A20 H4:H20</xm:sqref>
        </x14:dataValidation>
        <x14:dataValidation type="list" allowBlank="1" showInputMessage="1" showErrorMessage="1" xr:uid="{040CB2EB-B054-4791-992B-C978664CA089}">
          <x14:formula1>
            <xm:f>Lists!$M$1:$M$4</xm:f>
          </x14:formula1>
          <xm:sqref>B4:B20 J4:J20</xm:sqref>
        </x14:dataValidation>
        <x14:dataValidation type="list" allowBlank="1" showInputMessage="1" showErrorMessage="1" xr:uid="{6C5A13C9-8FE0-409F-95ED-5F108F4142CA}">
          <x14:formula1>
            <xm:f>Lists!$B$1:$B$3</xm:f>
          </x14:formula1>
          <xm:sqref>I4:I20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932B-7196-46A3-B021-6FC8D456F531}">
  <sheetPr codeName="Sheet16">
    <tabColor theme="9" tint="0.39997558519241921"/>
  </sheetPr>
  <dimension ref="A1:P32"/>
  <sheetViews>
    <sheetView showGridLines="0" showRowColHeaders="0" workbookViewId="0">
      <selection activeCell="G4" sqref="G4"/>
    </sheetView>
  </sheetViews>
  <sheetFormatPr defaultColWidth="0" defaultRowHeight="21.5" zeroHeight="1" x14ac:dyDescent="0.35"/>
  <cols>
    <col min="1" max="1" width="3.453125" style="16" customWidth="1"/>
    <col min="2" max="4" width="20.453125" style="16" customWidth="1"/>
    <col min="5" max="5" width="26.1796875" style="16" customWidth="1"/>
    <col min="6" max="6" width="20.453125" style="16" customWidth="1"/>
    <col min="7" max="7" width="43.26953125" style="16" customWidth="1"/>
    <col min="8" max="10" width="0" style="16" hidden="1" customWidth="1"/>
    <col min="11" max="11" width="3.453125" style="16" customWidth="1"/>
    <col min="12" max="14" width="8.7265625" style="16" customWidth="1"/>
    <col min="15" max="15" width="33.453125" style="16" customWidth="1"/>
    <col min="16" max="16" width="8.7265625" style="16" customWidth="1"/>
    <col min="17" max="16384" width="8.7265625" style="16" hidden="1"/>
  </cols>
  <sheetData>
    <row r="1" spans="2:15" ht="14.5" customHeight="1" x14ac:dyDescent="0.35"/>
    <row r="2" spans="2:15" x14ac:dyDescent="0.35">
      <c r="B2" s="44" t="s">
        <v>80</v>
      </c>
      <c r="C2" s="185" t="str">
        <f>IF(Lists!W6="LOCKED","Please confirm your acceptance of the Terms of Use",SUM(G5:G23))</f>
        <v>Please confirm your acceptance of the Terms of Use</v>
      </c>
      <c r="D2" s="185"/>
      <c r="E2" s="185"/>
    </row>
    <row r="3" spans="2:15" ht="14.5" customHeight="1" thickBot="1" x14ac:dyDescent="0.4">
      <c r="C3" s="43"/>
    </row>
    <row r="4" spans="2:15" ht="89.15" customHeight="1" thickTop="1" x14ac:dyDescent="0.35">
      <c r="B4" s="46" t="s">
        <v>226</v>
      </c>
      <c r="C4" s="46" t="s">
        <v>227</v>
      </c>
      <c r="D4" s="46" t="s">
        <v>228</v>
      </c>
      <c r="E4" s="46" t="s">
        <v>229</v>
      </c>
      <c r="F4" s="46" t="s">
        <v>245</v>
      </c>
      <c r="G4" s="18" t="s">
        <v>13</v>
      </c>
      <c r="L4" s="148" t="s">
        <v>244</v>
      </c>
      <c r="M4" s="186"/>
      <c r="N4" s="186"/>
      <c r="O4" s="187"/>
    </row>
    <row r="5" spans="2:15" ht="22" customHeight="1" x14ac:dyDescent="0.35">
      <c r="B5" s="47"/>
      <c r="C5" s="47"/>
      <c r="D5" s="47"/>
      <c r="E5" s="47"/>
      <c r="F5" s="47"/>
      <c r="G5" s="45" t="str">
        <f>IF(F5="","",SUM(H5:J5))</f>
        <v/>
      </c>
      <c r="H5" s="16">
        <f>IF(C5="Yes",IF(F5&gt;110,B5*96,B5*96*0.8),0)</f>
        <v>0</v>
      </c>
      <c r="I5" s="16">
        <f>IF(D5="Yes",IF(F5&gt;110,B5*60,B5*60*0.8),0)</f>
        <v>0</v>
      </c>
      <c r="J5" s="16">
        <f>IF(E5="Yes",B5*150,0)</f>
        <v>0</v>
      </c>
      <c r="L5" s="188"/>
      <c r="M5" s="136"/>
      <c r="N5" s="136"/>
      <c r="O5" s="189"/>
    </row>
    <row r="6" spans="2:15" ht="22" customHeight="1" x14ac:dyDescent="0.35">
      <c r="B6" s="47"/>
      <c r="C6" s="47"/>
      <c r="D6" s="47"/>
      <c r="E6" s="47"/>
      <c r="F6" s="47"/>
      <c r="G6" s="45" t="str">
        <f t="shared" ref="G6:G22" si="0">IF(F6="","",SUM(H6:J6))</f>
        <v/>
      </c>
      <c r="H6" s="16">
        <f t="shared" ref="H6:H22" si="1">IF(C6="Yes",IF(F6&gt;110,B6*96,B6*96*0.8),0)</f>
        <v>0</v>
      </c>
      <c r="I6" s="16">
        <f t="shared" ref="I6:I22" si="2">IF(D6="Yes",IF(F6&gt;110,B6*60,B6*60*0.8),0)</f>
        <v>0</v>
      </c>
      <c r="J6" s="16">
        <f t="shared" ref="J6:J22" si="3">IF(E6="Yes",B6*150,0)</f>
        <v>0</v>
      </c>
      <c r="L6" s="188"/>
      <c r="M6" s="136"/>
      <c r="N6" s="136"/>
      <c r="O6" s="189"/>
    </row>
    <row r="7" spans="2:15" ht="22" customHeight="1" x14ac:dyDescent="0.35">
      <c r="B7" s="47"/>
      <c r="C7" s="47"/>
      <c r="D7" s="47"/>
      <c r="E7" s="47"/>
      <c r="F7" s="47"/>
      <c r="G7" s="45" t="str">
        <f t="shared" si="0"/>
        <v/>
      </c>
      <c r="H7" s="16">
        <f t="shared" si="1"/>
        <v>0</v>
      </c>
      <c r="I7" s="16">
        <f t="shared" si="2"/>
        <v>0</v>
      </c>
      <c r="J7" s="16">
        <f t="shared" si="3"/>
        <v>0</v>
      </c>
      <c r="L7" s="188"/>
      <c r="M7" s="136"/>
      <c r="N7" s="136"/>
      <c r="O7" s="189"/>
    </row>
    <row r="8" spans="2:15" ht="22" customHeight="1" x14ac:dyDescent="0.35">
      <c r="B8" s="47"/>
      <c r="C8" s="47"/>
      <c r="D8" s="47"/>
      <c r="E8" s="47"/>
      <c r="F8" s="47"/>
      <c r="G8" s="45" t="str">
        <f t="shared" si="0"/>
        <v/>
      </c>
      <c r="H8" s="16">
        <f t="shared" si="1"/>
        <v>0</v>
      </c>
      <c r="I8" s="16">
        <f t="shared" si="2"/>
        <v>0</v>
      </c>
      <c r="J8" s="16">
        <f t="shared" si="3"/>
        <v>0</v>
      </c>
      <c r="L8" s="188"/>
      <c r="M8" s="136"/>
      <c r="N8" s="136"/>
      <c r="O8" s="189"/>
    </row>
    <row r="9" spans="2:15" ht="22" customHeight="1" x14ac:dyDescent="0.35">
      <c r="B9" s="47"/>
      <c r="C9" s="47"/>
      <c r="D9" s="47"/>
      <c r="E9" s="47"/>
      <c r="F9" s="47"/>
      <c r="G9" s="45" t="str">
        <f t="shared" si="0"/>
        <v/>
      </c>
      <c r="H9" s="16">
        <f t="shared" si="1"/>
        <v>0</v>
      </c>
      <c r="I9" s="16">
        <f t="shared" si="2"/>
        <v>0</v>
      </c>
      <c r="J9" s="16">
        <f t="shared" si="3"/>
        <v>0</v>
      </c>
      <c r="L9" s="188"/>
      <c r="M9" s="136"/>
      <c r="N9" s="136"/>
      <c r="O9" s="189"/>
    </row>
    <row r="10" spans="2:15" ht="22" customHeight="1" x14ac:dyDescent="0.35">
      <c r="B10" s="47"/>
      <c r="C10" s="47"/>
      <c r="D10" s="47"/>
      <c r="E10" s="47"/>
      <c r="F10" s="47"/>
      <c r="G10" s="45" t="str">
        <f t="shared" si="0"/>
        <v/>
      </c>
      <c r="H10" s="16">
        <f t="shared" si="1"/>
        <v>0</v>
      </c>
      <c r="I10" s="16">
        <f t="shared" si="2"/>
        <v>0</v>
      </c>
      <c r="J10" s="16">
        <f t="shared" si="3"/>
        <v>0</v>
      </c>
      <c r="L10" s="188"/>
      <c r="M10" s="136"/>
      <c r="N10" s="136"/>
      <c r="O10" s="189"/>
    </row>
    <row r="11" spans="2:15" ht="22" customHeight="1" x14ac:dyDescent="0.35">
      <c r="B11" s="47"/>
      <c r="C11" s="47"/>
      <c r="D11" s="47"/>
      <c r="E11" s="47"/>
      <c r="F11" s="47"/>
      <c r="G11" s="45" t="str">
        <f t="shared" si="0"/>
        <v/>
      </c>
      <c r="H11" s="16">
        <f t="shared" si="1"/>
        <v>0</v>
      </c>
      <c r="I11" s="16">
        <f t="shared" si="2"/>
        <v>0</v>
      </c>
      <c r="J11" s="16">
        <f t="shared" si="3"/>
        <v>0</v>
      </c>
      <c r="L11" s="188"/>
      <c r="M11" s="136"/>
      <c r="N11" s="136"/>
      <c r="O11" s="189"/>
    </row>
    <row r="12" spans="2:15" ht="22" customHeight="1" x14ac:dyDescent="0.35">
      <c r="B12" s="47"/>
      <c r="C12" s="47"/>
      <c r="D12" s="47"/>
      <c r="E12" s="47"/>
      <c r="F12" s="47"/>
      <c r="G12" s="45" t="str">
        <f t="shared" si="0"/>
        <v/>
      </c>
      <c r="H12" s="16">
        <f t="shared" si="1"/>
        <v>0</v>
      </c>
      <c r="I12" s="16">
        <f t="shared" si="2"/>
        <v>0</v>
      </c>
      <c r="J12" s="16">
        <f t="shared" si="3"/>
        <v>0</v>
      </c>
      <c r="L12" s="188"/>
      <c r="M12" s="136"/>
      <c r="N12" s="136"/>
      <c r="O12" s="189"/>
    </row>
    <row r="13" spans="2:15" ht="22" customHeight="1" x14ac:dyDescent="0.35">
      <c r="B13" s="47"/>
      <c r="C13" s="47"/>
      <c r="D13" s="47"/>
      <c r="E13" s="47"/>
      <c r="F13" s="47"/>
      <c r="G13" s="45" t="str">
        <f t="shared" si="0"/>
        <v/>
      </c>
      <c r="H13" s="16">
        <f t="shared" si="1"/>
        <v>0</v>
      </c>
      <c r="I13" s="16">
        <f t="shared" si="2"/>
        <v>0</v>
      </c>
      <c r="J13" s="16">
        <f t="shared" si="3"/>
        <v>0</v>
      </c>
      <c r="L13" s="188"/>
      <c r="M13" s="136"/>
      <c r="N13" s="136"/>
      <c r="O13" s="189"/>
    </row>
    <row r="14" spans="2:15" ht="22" customHeight="1" x14ac:dyDescent="0.35">
      <c r="B14" s="47"/>
      <c r="C14" s="47"/>
      <c r="D14" s="47"/>
      <c r="E14" s="47"/>
      <c r="F14" s="47"/>
      <c r="G14" s="45" t="str">
        <f t="shared" si="0"/>
        <v/>
      </c>
      <c r="H14" s="16">
        <f t="shared" si="1"/>
        <v>0</v>
      </c>
      <c r="I14" s="16">
        <f t="shared" si="2"/>
        <v>0</v>
      </c>
      <c r="J14" s="16">
        <f t="shared" si="3"/>
        <v>0</v>
      </c>
      <c r="L14" s="188"/>
      <c r="M14" s="136"/>
      <c r="N14" s="136"/>
      <c r="O14" s="189"/>
    </row>
    <row r="15" spans="2:15" ht="22" customHeight="1" x14ac:dyDescent="0.35">
      <c r="B15" s="47"/>
      <c r="C15" s="47"/>
      <c r="D15" s="47"/>
      <c r="E15" s="47"/>
      <c r="F15" s="47"/>
      <c r="G15" s="45" t="str">
        <f t="shared" si="0"/>
        <v/>
      </c>
      <c r="H15" s="16">
        <f t="shared" si="1"/>
        <v>0</v>
      </c>
      <c r="I15" s="16">
        <f t="shared" si="2"/>
        <v>0</v>
      </c>
      <c r="J15" s="16">
        <f t="shared" si="3"/>
        <v>0</v>
      </c>
      <c r="L15" s="188"/>
      <c r="M15" s="136"/>
      <c r="N15" s="136"/>
      <c r="O15" s="189"/>
    </row>
    <row r="16" spans="2:15" ht="22" customHeight="1" x14ac:dyDescent="0.35">
      <c r="B16" s="47"/>
      <c r="C16" s="47"/>
      <c r="D16" s="47"/>
      <c r="E16" s="47"/>
      <c r="F16" s="47"/>
      <c r="G16" s="45" t="str">
        <f t="shared" si="0"/>
        <v/>
      </c>
      <c r="H16" s="16">
        <f t="shared" si="1"/>
        <v>0</v>
      </c>
      <c r="I16" s="16">
        <f t="shared" si="2"/>
        <v>0</v>
      </c>
      <c r="J16" s="16">
        <f t="shared" si="3"/>
        <v>0</v>
      </c>
      <c r="L16" s="188"/>
      <c r="M16" s="136"/>
      <c r="N16" s="136"/>
      <c r="O16" s="189"/>
    </row>
    <row r="17" spans="2:16" ht="22" customHeight="1" x14ac:dyDescent="0.35">
      <c r="B17" s="47"/>
      <c r="C17" s="47"/>
      <c r="D17" s="47"/>
      <c r="E17" s="47"/>
      <c r="F17" s="47"/>
      <c r="G17" s="45" t="str">
        <f t="shared" si="0"/>
        <v/>
      </c>
      <c r="H17" s="16">
        <f t="shared" si="1"/>
        <v>0</v>
      </c>
      <c r="I17" s="16">
        <f t="shared" si="2"/>
        <v>0</v>
      </c>
      <c r="J17" s="16">
        <f t="shared" si="3"/>
        <v>0</v>
      </c>
      <c r="L17" s="188"/>
      <c r="M17" s="136"/>
      <c r="N17" s="136"/>
      <c r="O17" s="189"/>
    </row>
    <row r="18" spans="2:16" ht="22" customHeight="1" x14ac:dyDescent="0.35">
      <c r="B18" s="47"/>
      <c r="C18" s="47"/>
      <c r="D18" s="47"/>
      <c r="E18" s="47"/>
      <c r="F18" s="47"/>
      <c r="G18" s="45" t="str">
        <f t="shared" si="0"/>
        <v/>
      </c>
      <c r="H18" s="16">
        <f t="shared" si="1"/>
        <v>0</v>
      </c>
      <c r="I18" s="16">
        <f t="shared" si="2"/>
        <v>0</v>
      </c>
      <c r="J18" s="16">
        <f t="shared" si="3"/>
        <v>0</v>
      </c>
      <c r="L18" s="188"/>
      <c r="M18" s="136"/>
      <c r="N18" s="136"/>
      <c r="O18" s="189"/>
    </row>
    <row r="19" spans="2:16" ht="22" customHeight="1" x14ac:dyDescent="0.35">
      <c r="B19" s="47"/>
      <c r="C19" s="47"/>
      <c r="D19" s="47"/>
      <c r="E19" s="47"/>
      <c r="F19" s="47"/>
      <c r="G19" s="45" t="str">
        <f t="shared" si="0"/>
        <v/>
      </c>
      <c r="H19" s="16">
        <f t="shared" si="1"/>
        <v>0</v>
      </c>
      <c r="I19" s="16">
        <f t="shared" si="2"/>
        <v>0</v>
      </c>
      <c r="J19" s="16">
        <f t="shared" si="3"/>
        <v>0</v>
      </c>
      <c r="L19" s="190" t="s">
        <v>191</v>
      </c>
      <c r="M19" s="191"/>
      <c r="N19" s="191"/>
      <c r="O19" s="192"/>
    </row>
    <row r="20" spans="2:16" ht="22" customHeight="1" x14ac:dyDescent="0.35">
      <c r="B20" s="47"/>
      <c r="C20" s="47"/>
      <c r="D20" s="47"/>
      <c r="E20" s="47"/>
      <c r="F20" s="47"/>
      <c r="G20" s="45" t="str">
        <f t="shared" si="0"/>
        <v/>
      </c>
      <c r="H20" s="16">
        <f t="shared" si="1"/>
        <v>0</v>
      </c>
      <c r="I20" s="16">
        <f t="shared" si="2"/>
        <v>0</v>
      </c>
      <c r="J20" s="16">
        <f t="shared" si="3"/>
        <v>0</v>
      </c>
      <c r="L20" s="190"/>
      <c r="M20" s="191"/>
      <c r="N20" s="191"/>
      <c r="O20" s="192"/>
    </row>
    <row r="21" spans="2:16" ht="22" customHeight="1" x14ac:dyDescent="0.35">
      <c r="B21" s="47"/>
      <c r="C21" s="47"/>
      <c r="D21" s="47"/>
      <c r="E21" s="47"/>
      <c r="F21" s="47"/>
      <c r="G21" s="45" t="str">
        <f t="shared" si="0"/>
        <v/>
      </c>
      <c r="H21" s="16">
        <f t="shared" si="1"/>
        <v>0</v>
      </c>
      <c r="I21" s="16">
        <f t="shared" si="2"/>
        <v>0</v>
      </c>
      <c r="J21" s="16">
        <f t="shared" si="3"/>
        <v>0</v>
      </c>
      <c r="L21" s="190"/>
      <c r="M21" s="191"/>
      <c r="N21" s="191"/>
      <c r="O21" s="192"/>
    </row>
    <row r="22" spans="2:16" ht="22" customHeight="1" thickBot="1" x14ac:dyDescent="0.4">
      <c r="B22" s="47"/>
      <c r="C22" s="47"/>
      <c r="D22" s="47"/>
      <c r="E22" s="47"/>
      <c r="F22" s="47"/>
      <c r="G22" s="45" t="str">
        <f t="shared" si="0"/>
        <v/>
      </c>
      <c r="H22" s="16">
        <f t="shared" si="1"/>
        <v>0</v>
      </c>
      <c r="I22" s="16">
        <f t="shared" si="2"/>
        <v>0</v>
      </c>
      <c r="J22" s="16">
        <f t="shared" si="3"/>
        <v>0</v>
      </c>
      <c r="L22" s="193"/>
      <c r="M22" s="194"/>
      <c r="N22" s="194"/>
      <c r="O22" s="195"/>
      <c r="P22" s="17"/>
    </row>
    <row r="23" spans="2:16" ht="22" thickTop="1" x14ac:dyDescent="0.35"/>
    <row r="24" spans="2:16" ht="21.75" hidden="1" customHeight="1" x14ac:dyDescent="0.35">
      <c r="B24" s="41"/>
      <c r="C24" s="41"/>
      <c r="D24" s="41"/>
      <c r="E24" s="41"/>
      <c r="F24" s="41"/>
      <c r="G24" s="41"/>
    </row>
    <row r="25" spans="2:16" ht="21.75" hidden="1" customHeight="1" x14ac:dyDescent="0.35">
      <c r="B25" s="41"/>
      <c r="C25" s="41"/>
      <c r="D25" s="41"/>
      <c r="E25" s="41"/>
      <c r="F25" s="41"/>
      <c r="G25" s="41"/>
    </row>
    <row r="26" spans="2:16" ht="21.75" hidden="1" customHeight="1" x14ac:dyDescent="0.35">
      <c r="B26" s="41"/>
      <c r="C26" s="41"/>
      <c r="D26" s="41"/>
      <c r="E26" s="41"/>
      <c r="F26" s="41"/>
      <c r="G26" s="41"/>
    </row>
    <row r="27" spans="2:16" ht="21.65" hidden="1" customHeight="1" x14ac:dyDescent="0.35">
      <c r="B27" s="41"/>
      <c r="C27" s="41"/>
      <c r="D27" s="41"/>
      <c r="E27" s="41"/>
      <c r="F27" s="41"/>
      <c r="G27" s="41"/>
    </row>
    <row r="28" spans="2:16" ht="21.65" hidden="1" customHeight="1" x14ac:dyDescent="0.35">
      <c r="B28" s="41"/>
      <c r="C28" s="41"/>
      <c r="D28" s="41"/>
      <c r="E28" s="41"/>
      <c r="F28" s="41"/>
      <c r="G28" s="41"/>
    </row>
    <row r="29" spans="2:16" ht="21.65" hidden="1" customHeight="1" x14ac:dyDescent="0.35">
      <c r="B29" s="41"/>
      <c r="C29" s="41"/>
      <c r="D29" s="41"/>
      <c r="E29" s="41"/>
      <c r="F29" s="41"/>
      <c r="G29" s="41"/>
    </row>
    <row r="31" spans="2:16" hidden="1" x14ac:dyDescent="0.35">
      <c r="C31" s="48"/>
      <c r="D31" s="48"/>
      <c r="E31" s="48"/>
    </row>
    <row r="32" spans="2:16" hidden="1" x14ac:dyDescent="0.35">
      <c r="C32" s="48"/>
      <c r="D32" s="48"/>
      <c r="E32" s="48"/>
    </row>
  </sheetData>
  <sheetProtection algorithmName="SHA-512" hashValue="F1A2Z2jDDQSZvfWRe4Ar/5EYXGZ4jlpWiyMGKXvwERHfBFVJ+5Y065ER+nvxE3hjUlEvaqasS2DFSp8HrFI+jA==" saltValue="2LPkiu1coo+J+hCY5u0a5A==" spinCount="100000" sheet="1" objects="1" scenarios="1"/>
  <mergeCells count="3">
    <mergeCell ref="C2:E2"/>
    <mergeCell ref="L4:O18"/>
    <mergeCell ref="L19:O22"/>
  </mergeCells>
  <conditionalFormatting sqref="G5:G22">
    <cfRule type="expression" dxfId="3" priority="1">
      <formula>$C$2="Please confirm your acceptance of the Terms of Use"</formula>
    </cfRule>
    <cfRule type="expression" dxfId="2" priority="2">
      <formula>$C$2="Please refer to Front Page"</formula>
    </cfRule>
  </conditionalFormatting>
  <dataValidations count="2">
    <dataValidation type="whole" allowBlank="1" showInputMessage="1" showErrorMessage="1" sqref="B5:B22" xr:uid="{C846D93D-DD26-4D03-9BBB-B1CC6628F02C}">
      <formula1>0</formula1>
      <formula2>1000000000</formula2>
    </dataValidation>
    <dataValidation type="whole" allowBlank="1" showInputMessage="1" showErrorMessage="1" sqref="F5:F22" xr:uid="{AAE2FCE3-E7E3-4BD1-9C89-3412A0A5976D}">
      <formula1>0</formula1>
      <formula2>1000000000000</formula2>
    </dataValidation>
  </dataValidations>
  <hyperlinks>
    <hyperlink ref="L19:O22" r:id="rId1" display="You can find more information on infrastructure charges and environmental incentives here. " xr:uid="{43A24F1E-72C8-41CD-A1BF-CA9000FCA84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7DEBA15E-4617-4DB3-8C0E-FD3BE8EB2C8D}">
          <x14:formula1>
            <xm:f>Lists!$D$1:$D$2</xm:f>
          </x14:formula1>
          <xm:sqref>C5:E22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1552E-6DA4-4BDB-9041-2CF86C90A245}">
  <sheetPr codeName="Sheet17">
    <tabColor theme="9" tint="0.39997558519241921"/>
  </sheetPr>
  <dimension ref="A1:P23"/>
  <sheetViews>
    <sheetView showGridLines="0" showRowColHeaders="0" topLeftCell="F1" workbookViewId="0">
      <selection activeCell="P10" sqref="P10"/>
    </sheetView>
  </sheetViews>
  <sheetFormatPr defaultColWidth="0" defaultRowHeight="21.5" zeroHeight="1" x14ac:dyDescent="0.35"/>
  <cols>
    <col min="1" max="1" width="3.453125" style="16" customWidth="1"/>
    <col min="2" max="6" width="20.453125" style="16" customWidth="1"/>
    <col min="7" max="7" width="51.1796875" style="16" customWidth="1"/>
    <col min="8" max="8" width="8.26953125" style="16" hidden="1" customWidth="1"/>
    <col min="9" max="9" width="11" style="16" hidden="1" customWidth="1"/>
    <col min="10" max="10" width="15.1796875" style="16" hidden="1" customWidth="1"/>
    <col min="11" max="11" width="3.453125" style="16" customWidth="1"/>
    <col min="12" max="14" width="8.7265625" style="16" customWidth="1"/>
    <col min="15" max="15" width="45.7265625" style="16" customWidth="1"/>
    <col min="16" max="16" width="8.7265625" style="16" customWidth="1"/>
    <col min="17" max="16384" width="8.7265625" style="16" hidden="1"/>
  </cols>
  <sheetData>
    <row r="1" spans="2:15" ht="14.5" customHeight="1" x14ac:dyDescent="0.35"/>
    <row r="2" spans="2:15" x14ac:dyDescent="0.35">
      <c r="B2" s="44" t="s">
        <v>80</v>
      </c>
      <c r="C2" s="185" t="str">
        <f>IF(Lists!W6="LOCKED","Please confirm your acceptance of the Terms of Use",SUM(G5:G23))</f>
        <v>Please confirm your acceptance of the Terms of Use</v>
      </c>
      <c r="D2" s="185"/>
      <c r="E2" s="185"/>
      <c r="F2" s="185"/>
      <c r="G2" s="185"/>
    </row>
    <row r="3" spans="2:15" ht="14.5" customHeight="1" thickBot="1" x14ac:dyDescent="0.4">
      <c r="C3" s="43"/>
    </row>
    <row r="4" spans="2:15" ht="87.75" customHeight="1" x14ac:dyDescent="0.35">
      <c r="B4" s="46" t="s">
        <v>226</v>
      </c>
      <c r="C4" s="46" t="s">
        <v>227</v>
      </c>
      <c r="D4" s="46" t="s">
        <v>228</v>
      </c>
      <c r="E4" s="46" t="s">
        <v>229</v>
      </c>
      <c r="F4" s="46" t="s">
        <v>230</v>
      </c>
      <c r="G4" s="18" t="s">
        <v>13</v>
      </c>
      <c r="L4" s="132" t="s">
        <v>246</v>
      </c>
      <c r="M4" s="133"/>
      <c r="N4" s="133"/>
      <c r="O4" s="134"/>
    </row>
    <row r="5" spans="2:15" ht="22" customHeight="1" x14ac:dyDescent="0.35">
      <c r="B5" s="47"/>
      <c r="C5" s="47"/>
      <c r="D5" s="47"/>
      <c r="E5" s="47"/>
      <c r="F5" s="47"/>
      <c r="G5" s="45" t="str">
        <f>IF(F5="","",SUM(H5:J5))</f>
        <v/>
      </c>
      <c r="H5" s="49">
        <f>IF(C5="Yes",((ROUND((F5/24),2)*96)*B5),0)</f>
        <v>0</v>
      </c>
      <c r="I5" s="16">
        <f>IF(D5="Yes",(((ROUND((F5/24),2)*60)*B5)),0)</f>
        <v>0</v>
      </c>
      <c r="J5" s="16">
        <f>IF(E5="Yes",B5*150,0)</f>
        <v>0</v>
      </c>
      <c r="L5" s="135"/>
      <c r="M5" s="136"/>
      <c r="N5" s="136"/>
      <c r="O5" s="137"/>
    </row>
    <row r="6" spans="2:15" ht="22" customHeight="1" x14ac:dyDescent="0.35">
      <c r="B6" s="47"/>
      <c r="C6" s="47"/>
      <c r="D6" s="47"/>
      <c r="E6" s="47"/>
      <c r="F6" s="47"/>
      <c r="G6" s="45" t="str">
        <f t="shared" ref="G6:G22" si="0">IF(F6="","",SUM(H6:J6))</f>
        <v/>
      </c>
      <c r="H6" s="49">
        <f t="shared" ref="H6:H22" si="1">IF(C6="Yes",((ROUND((F6/24),2)*96)*B6),0)</f>
        <v>0</v>
      </c>
      <c r="I6" s="16">
        <f t="shared" ref="I6:I22" si="2">IF(D6="Yes",(((ROUND((F6/24),2)*60)*B6)),0)</f>
        <v>0</v>
      </c>
      <c r="J6" s="16">
        <f t="shared" ref="J6:J22" si="3">IF(E6="Yes",B6*150,0)</f>
        <v>0</v>
      </c>
      <c r="L6" s="135"/>
      <c r="M6" s="136"/>
      <c r="N6" s="136"/>
      <c r="O6" s="137"/>
    </row>
    <row r="7" spans="2:15" ht="22" customHeight="1" x14ac:dyDescent="0.35">
      <c r="B7" s="47"/>
      <c r="C7" s="47"/>
      <c r="D7" s="47"/>
      <c r="E7" s="47"/>
      <c r="F7" s="47"/>
      <c r="G7" s="45" t="str">
        <f t="shared" si="0"/>
        <v/>
      </c>
      <c r="H7" s="49">
        <f t="shared" si="1"/>
        <v>0</v>
      </c>
      <c r="I7" s="16">
        <f t="shared" si="2"/>
        <v>0</v>
      </c>
      <c r="J7" s="16">
        <f t="shared" si="3"/>
        <v>0</v>
      </c>
      <c r="L7" s="135"/>
      <c r="M7" s="136"/>
      <c r="N7" s="136"/>
      <c r="O7" s="137"/>
    </row>
    <row r="8" spans="2:15" ht="22" customHeight="1" x14ac:dyDescent="0.35">
      <c r="B8" s="47"/>
      <c r="C8" s="47"/>
      <c r="D8" s="47"/>
      <c r="E8" s="47"/>
      <c r="F8" s="47"/>
      <c r="G8" s="45" t="str">
        <f t="shared" si="0"/>
        <v/>
      </c>
      <c r="H8" s="49">
        <f t="shared" si="1"/>
        <v>0</v>
      </c>
      <c r="I8" s="16">
        <f t="shared" si="2"/>
        <v>0</v>
      </c>
      <c r="J8" s="16">
        <f t="shared" si="3"/>
        <v>0</v>
      </c>
      <c r="L8" s="135"/>
      <c r="M8" s="136"/>
      <c r="N8" s="136"/>
      <c r="O8" s="137"/>
    </row>
    <row r="9" spans="2:15" ht="22" customHeight="1" x14ac:dyDescent="0.35">
      <c r="B9" s="47"/>
      <c r="C9" s="47"/>
      <c r="D9" s="47"/>
      <c r="E9" s="47"/>
      <c r="F9" s="47"/>
      <c r="G9" s="45" t="str">
        <f t="shared" si="0"/>
        <v/>
      </c>
      <c r="H9" s="49">
        <f t="shared" si="1"/>
        <v>0</v>
      </c>
      <c r="I9" s="16">
        <f t="shared" si="2"/>
        <v>0</v>
      </c>
      <c r="J9" s="16">
        <f t="shared" si="3"/>
        <v>0</v>
      </c>
      <c r="L9" s="135"/>
      <c r="M9" s="136"/>
      <c r="N9" s="136"/>
      <c r="O9" s="137"/>
    </row>
    <row r="10" spans="2:15" ht="22" customHeight="1" x14ac:dyDescent="0.35">
      <c r="B10" s="47"/>
      <c r="C10" s="47"/>
      <c r="D10" s="47"/>
      <c r="E10" s="47"/>
      <c r="F10" s="47"/>
      <c r="G10" s="45" t="str">
        <f t="shared" si="0"/>
        <v/>
      </c>
      <c r="H10" s="49">
        <f t="shared" si="1"/>
        <v>0</v>
      </c>
      <c r="I10" s="16">
        <f t="shared" si="2"/>
        <v>0</v>
      </c>
      <c r="J10" s="16">
        <f t="shared" si="3"/>
        <v>0</v>
      </c>
      <c r="L10" s="135"/>
      <c r="M10" s="136"/>
      <c r="N10" s="136"/>
      <c r="O10" s="137"/>
    </row>
    <row r="11" spans="2:15" ht="22" customHeight="1" x14ac:dyDescent="0.35">
      <c r="B11" s="47"/>
      <c r="C11" s="47"/>
      <c r="D11" s="47"/>
      <c r="E11" s="47"/>
      <c r="F11" s="47"/>
      <c r="G11" s="45" t="str">
        <f t="shared" si="0"/>
        <v/>
      </c>
      <c r="H11" s="49">
        <f t="shared" si="1"/>
        <v>0</v>
      </c>
      <c r="I11" s="16">
        <f t="shared" si="2"/>
        <v>0</v>
      </c>
      <c r="J11" s="16">
        <f t="shared" si="3"/>
        <v>0</v>
      </c>
      <c r="L11" s="135"/>
      <c r="M11" s="136"/>
      <c r="N11" s="136"/>
      <c r="O11" s="137"/>
    </row>
    <row r="12" spans="2:15" ht="22" customHeight="1" x14ac:dyDescent="0.35">
      <c r="B12" s="47"/>
      <c r="C12" s="47"/>
      <c r="D12" s="47"/>
      <c r="E12" s="47"/>
      <c r="F12" s="47"/>
      <c r="G12" s="45" t="str">
        <f t="shared" si="0"/>
        <v/>
      </c>
      <c r="H12" s="49">
        <f t="shared" si="1"/>
        <v>0</v>
      </c>
      <c r="I12" s="16">
        <f t="shared" si="2"/>
        <v>0</v>
      </c>
      <c r="J12" s="16">
        <f t="shared" si="3"/>
        <v>0</v>
      </c>
      <c r="L12" s="135"/>
      <c r="M12" s="136"/>
      <c r="N12" s="136"/>
      <c r="O12" s="137"/>
    </row>
    <row r="13" spans="2:15" ht="22" customHeight="1" x14ac:dyDescent="0.35">
      <c r="B13" s="47"/>
      <c r="C13" s="47"/>
      <c r="D13" s="47"/>
      <c r="E13" s="47"/>
      <c r="F13" s="47"/>
      <c r="G13" s="45" t="str">
        <f t="shared" si="0"/>
        <v/>
      </c>
      <c r="H13" s="49">
        <f t="shared" si="1"/>
        <v>0</v>
      </c>
      <c r="I13" s="16">
        <f t="shared" si="2"/>
        <v>0</v>
      </c>
      <c r="J13" s="16">
        <f t="shared" si="3"/>
        <v>0</v>
      </c>
      <c r="L13" s="135"/>
      <c r="M13" s="136"/>
      <c r="N13" s="136"/>
      <c r="O13" s="137"/>
    </row>
    <row r="14" spans="2:15" ht="22" customHeight="1" x14ac:dyDescent="0.35">
      <c r="B14" s="47"/>
      <c r="C14" s="47"/>
      <c r="D14" s="47"/>
      <c r="E14" s="47"/>
      <c r="F14" s="47"/>
      <c r="G14" s="45" t="str">
        <f t="shared" si="0"/>
        <v/>
      </c>
      <c r="H14" s="49">
        <f t="shared" si="1"/>
        <v>0</v>
      </c>
      <c r="I14" s="16">
        <f t="shared" si="2"/>
        <v>0</v>
      </c>
      <c r="J14" s="16">
        <f t="shared" si="3"/>
        <v>0</v>
      </c>
      <c r="L14" s="135"/>
      <c r="M14" s="136"/>
      <c r="N14" s="136"/>
      <c r="O14" s="137"/>
    </row>
    <row r="15" spans="2:15" ht="22" customHeight="1" x14ac:dyDescent="0.35">
      <c r="B15" s="47"/>
      <c r="C15" s="47"/>
      <c r="D15" s="47"/>
      <c r="E15" s="47"/>
      <c r="F15" s="47"/>
      <c r="G15" s="45" t="str">
        <f t="shared" si="0"/>
        <v/>
      </c>
      <c r="H15" s="49">
        <f t="shared" si="1"/>
        <v>0</v>
      </c>
      <c r="I15" s="16">
        <f t="shared" si="2"/>
        <v>0</v>
      </c>
      <c r="J15" s="16">
        <f t="shared" si="3"/>
        <v>0</v>
      </c>
      <c r="L15" s="135"/>
      <c r="M15" s="136"/>
      <c r="N15" s="136"/>
      <c r="O15" s="137"/>
    </row>
    <row r="16" spans="2:15" ht="22" customHeight="1" x14ac:dyDescent="0.35">
      <c r="B16" s="47"/>
      <c r="C16" s="47"/>
      <c r="D16" s="47"/>
      <c r="E16" s="47"/>
      <c r="F16" s="47"/>
      <c r="G16" s="45" t="str">
        <f t="shared" si="0"/>
        <v/>
      </c>
      <c r="H16" s="49">
        <f t="shared" si="1"/>
        <v>0</v>
      </c>
      <c r="I16" s="16">
        <f t="shared" si="2"/>
        <v>0</v>
      </c>
      <c r="J16" s="16">
        <f t="shared" si="3"/>
        <v>0</v>
      </c>
      <c r="L16" s="135"/>
      <c r="M16" s="136"/>
      <c r="N16" s="136"/>
      <c r="O16" s="137"/>
    </row>
    <row r="17" spans="2:15" ht="22" customHeight="1" x14ac:dyDescent="0.35">
      <c r="B17" s="47"/>
      <c r="C17" s="47"/>
      <c r="D17" s="47"/>
      <c r="E17" s="47"/>
      <c r="F17" s="47"/>
      <c r="G17" s="45" t="str">
        <f t="shared" si="0"/>
        <v/>
      </c>
      <c r="H17" s="49">
        <f t="shared" si="1"/>
        <v>0</v>
      </c>
      <c r="I17" s="16">
        <f t="shared" si="2"/>
        <v>0</v>
      </c>
      <c r="J17" s="16">
        <f t="shared" si="3"/>
        <v>0</v>
      </c>
      <c r="L17" s="196" t="s">
        <v>191</v>
      </c>
      <c r="M17" s="191"/>
      <c r="N17" s="191"/>
      <c r="O17" s="197"/>
    </row>
    <row r="18" spans="2:15" ht="22" customHeight="1" x14ac:dyDescent="0.35">
      <c r="B18" s="47"/>
      <c r="C18" s="47"/>
      <c r="D18" s="47"/>
      <c r="E18" s="47"/>
      <c r="F18" s="47"/>
      <c r="G18" s="45" t="str">
        <f t="shared" si="0"/>
        <v/>
      </c>
      <c r="H18" s="49">
        <f t="shared" si="1"/>
        <v>0</v>
      </c>
      <c r="I18" s="16">
        <f t="shared" si="2"/>
        <v>0</v>
      </c>
      <c r="J18" s="16">
        <f t="shared" si="3"/>
        <v>0</v>
      </c>
      <c r="L18" s="196"/>
      <c r="M18" s="191"/>
      <c r="N18" s="191"/>
      <c r="O18" s="197"/>
    </row>
    <row r="19" spans="2:15" ht="22" customHeight="1" x14ac:dyDescent="0.35">
      <c r="B19" s="47"/>
      <c r="C19" s="47"/>
      <c r="D19" s="47"/>
      <c r="E19" s="47"/>
      <c r="F19" s="47"/>
      <c r="G19" s="45" t="str">
        <f t="shared" si="0"/>
        <v/>
      </c>
      <c r="H19" s="49">
        <f t="shared" si="1"/>
        <v>0</v>
      </c>
      <c r="I19" s="16">
        <f t="shared" si="2"/>
        <v>0</v>
      </c>
      <c r="J19" s="16">
        <f t="shared" si="3"/>
        <v>0</v>
      </c>
      <c r="L19" s="196"/>
      <c r="M19" s="191"/>
      <c r="N19" s="191"/>
      <c r="O19" s="197"/>
    </row>
    <row r="20" spans="2:15" ht="22" customHeight="1" thickBot="1" x14ac:dyDescent="0.4">
      <c r="B20" s="47"/>
      <c r="C20" s="47"/>
      <c r="D20" s="47"/>
      <c r="E20" s="47"/>
      <c r="F20" s="47"/>
      <c r="G20" s="45" t="str">
        <f t="shared" si="0"/>
        <v/>
      </c>
      <c r="H20" s="49">
        <f t="shared" si="1"/>
        <v>0</v>
      </c>
      <c r="I20" s="16">
        <f t="shared" si="2"/>
        <v>0</v>
      </c>
      <c r="J20" s="16">
        <f t="shared" si="3"/>
        <v>0</v>
      </c>
      <c r="L20" s="198"/>
      <c r="M20" s="199"/>
      <c r="N20" s="199"/>
      <c r="O20" s="200"/>
    </row>
    <row r="21" spans="2:15" ht="22" customHeight="1" x14ac:dyDescent="0.35">
      <c r="B21" s="47"/>
      <c r="C21" s="47"/>
      <c r="D21" s="47"/>
      <c r="E21" s="47"/>
      <c r="F21" s="47"/>
      <c r="G21" s="45" t="str">
        <f t="shared" si="0"/>
        <v/>
      </c>
      <c r="H21" s="49">
        <f t="shared" si="1"/>
        <v>0</v>
      </c>
      <c r="I21" s="16">
        <f t="shared" si="2"/>
        <v>0</v>
      </c>
      <c r="J21" s="16">
        <f t="shared" si="3"/>
        <v>0</v>
      </c>
      <c r="L21" s="191"/>
      <c r="M21" s="191"/>
      <c r="N21" s="191"/>
      <c r="O21" s="191"/>
    </row>
    <row r="22" spans="2:15" ht="22" customHeight="1" x14ac:dyDescent="0.35">
      <c r="B22" s="47"/>
      <c r="C22" s="47"/>
      <c r="D22" s="47"/>
      <c r="E22" s="47"/>
      <c r="F22" s="47"/>
      <c r="G22" s="45" t="str">
        <f t="shared" si="0"/>
        <v/>
      </c>
      <c r="H22" s="49">
        <f t="shared" si="1"/>
        <v>0</v>
      </c>
      <c r="I22" s="16">
        <f t="shared" si="2"/>
        <v>0</v>
      </c>
      <c r="J22" s="16">
        <f t="shared" si="3"/>
        <v>0</v>
      </c>
      <c r="L22" s="191"/>
      <c r="M22" s="191"/>
      <c r="N22" s="191"/>
      <c r="O22" s="191"/>
    </row>
    <row r="23" spans="2:15" x14ac:dyDescent="0.35"/>
  </sheetData>
  <sheetProtection algorithmName="SHA-512" hashValue="bxPWivpytS8X3qdcoarPhFq4tEdXtKlno444dZtpcJZtDSw0D10iQDRME3wDuX/0rzioyah4V1QpaEvui6lKdQ==" saltValue="3U0lFmS0ZeQO2oXY4lCDsw==" spinCount="100000" sheet="1" objects="1" scenarios="1"/>
  <mergeCells count="4">
    <mergeCell ref="C2:G2"/>
    <mergeCell ref="L4:O16"/>
    <mergeCell ref="L17:O20"/>
    <mergeCell ref="L21:O22"/>
  </mergeCells>
  <conditionalFormatting sqref="G5:G22">
    <cfRule type="expression" dxfId="1" priority="1">
      <formula>$C$2="Please confirm your acceptance of the Terms of Use"</formula>
    </cfRule>
    <cfRule type="expression" dxfId="0" priority="2">
      <formula>$C$2="Please refer to Front Page"</formula>
    </cfRule>
  </conditionalFormatting>
  <dataValidations count="2">
    <dataValidation type="whole" allowBlank="1" showInputMessage="1" showErrorMessage="1" sqref="F5:F22" xr:uid="{EAF44D06-E72B-4A95-80B7-0C9257A66B7F}">
      <formula1>0</formula1>
      <formula2>1000000000000</formula2>
    </dataValidation>
    <dataValidation type="whole" allowBlank="1" showInputMessage="1" showErrorMessage="1" sqref="B5:B22" xr:uid="{9EE146AE-01C0-4396-B0DC-785257EAF566}">
      <formula1>0</formula1>
      <formula2>1000000000</formula2>
    </dataValidation>
  </dataValidations>
  <hyperlinks>
    <hyperlink ref="L17:O20" r:id="rId1" display="You can find more information on infrastructure charges and environmental incentives here. " xr:uid="{344468C6-6537-49E5-B7FA-1565AA8D1AB4}"/>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1C38B76F-11EB-47E9-847B-AE59B80238D0}">
          <x14:formula1>
            <xm:f>Lists!$D$1:$D$2</xm:f>
          </x14:formula1>
          <xm:sqref>C5:E22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3F2EF-3975-41EB-BC73-2DA53EE92518}">
  <sheetPr codeName="Sheet18">
    <tabColor theme="8"/>
  </sheetPr>
  <dimension ref="A1:W25"/>
  <sheetViews>
    <sheetView showGridLines="0" showRowColHeaders="0" workbookViewId="0">
      <selection activeCell="B3" sqref="B3"/>
    </sheetView>
  </sheetViews>
  <sheetFormatPr defaultColWidth="0" defaultRowHeight="21.5" zeroHeight="1" x14ac:dyDescent="0.9"/>
  <cols>
    <col min="1" max="1" width="3.453125" style="13" customWidth="1"/>
    <col min="2" max="2" width="75.1796875" style="13" customWidth="1"/>
    <col min="3" max="3" width="24.81640625" style="13" customWidth="1"/>
    <col min="4" max="4" width="3.453125" style="13" customWidth="1"/>
    <col min="5" max="8" width="10.1796875" style="13" customWidth="1"/>
    <col min="9" max="9" width="8.7265625" style="13" customWidth="1"/>
    <col min="10" max="23" width="0" style="13" hidden="1" customWidth="1"/>
    <col min="24" max="16384" width="8.7265625" style="13" hidden="1"/>
  </cols>
  <sheetData>
    <row r="1" spans="2:8" ht="14.5" customHeight="1" thickBot="1" x14ac:dyDescent="0.95"/>
    <row r="2" spans="2:8" ht="22" customHeight="1" thickTop="1" x14ac:dyDescent="0.9">
      <c r="B2" s="50" t="s">
        <v>179</v>
      </c>
      <c r="C2" s="50" t="s">
        <v>182</v>
      </c>
      <c r="E2" s="148" t="s">
        <v>196</v>
      </c>
      <c r="F2" s="158"/>
      <c r="G2" s="158"/>
      <c r="H2" s="159"/>
    </row>
    <row r="3" spans="2:8" ht="22" customHeight="1" x14ac:dyDescent="0.9">
      <c r="B3" s="51" t="s">
        <v>231</v>
      </c>
      <c r="C3" s="52">
        <v>2</v>
      </c>
      <c r="E3" s="160"/>
      <c r="F3" s="161"/>
      <c r="G3" s="161"/>
      <c r="H3" s="162"/>
    </row>
    <row r="4" spans="2:8" ht="22" customHeight="1" x14ac:dyDescent="0.9">
      <c r="B4" s="53" t="s">
        <v>232</v>
      </c>
      <c r="C4" s="54">
        <v>1.5</v>
      </c>
      <c r="E4" s="160"/>
      <c r="F4" s="161"/>
      <c r="G4" s="161"/>
      <c r="H4" s="162"/>
    </row>
    <row r="5" spans="2:8" ht="22" customHeight="1" x14ac:dyDescent="0.9">
      <c r="B5" s="51" t="s">
        <v>233</v>
      </c>
      <c r="C5" s="52">
        <v>3</v>
      </c>
      <c r="E5" s="160"/>
      <c r="F5" s="161"/>
      <c r="G5" s="161"/>
      <c r="H5" s="162"/>
    </row>
    <row r="6" spans="2:8" ht="22" customHeight="1" x14ac:dyDescent="0.9">
      <c r="B6" s="53" t="s">
        <v>234</v>
      </c>
      <c r="C6" s="54">
        <v>10</v>
      </c>
      <c r="E6" s="160"/>
      <c r="F6" s="161"/>
      <c r="G6" s="161"/>
      <c r="H6" s="162"/>
    </row>
    <row r="7" spans="2:8" ht="22" customHeight="1" x14ac:dyDescent="0.9">
      <c r="B7" s="51" t="s">
        <v>235</v>
      </c>
      <c r="C7" s="52">
        <v>22</v>
      </c>
      <c r="E7" s="160"/>
      <c r="F7" s="161"/>
      <c r="G7" s="161"/>
      <c r="H7" s="162"/>
    </row>
    <row r="8" spans="2:8" ht="22" customHeight="1" x14ac:dyDescent="0.9">
      <c r="B8" s="53" t="s">
        <v>180</v>
      </c>
      <c r="C8" s="54">
        <v>3</v>
      </c>
      <c r="E8" s="160"/>
      <c r="F8" s="161"/>
      <c r="G8" s="161"/>
      <c r="H8" s="162"/>
    </row>
    <row r="9" spans="2:8" ht="22" customHeight="1" x14ac:dyDescent="0.9">
      <c r="B9" s="51" t="s">
        <v>236</v>
      </c>
      <c r="C9" s="52">
        <v>3</v>
      </c>
      <c r="E9" s="160"/>
      <c r="F9" s="161"/>
      <c r="G9" s="161"/>
      <c r="H9" s="162"/>
    </row>
    <row r="10" spans="2:8" ht="22" customHeight="1" x14ac:dyDescent="0.9">
      <c r="B10" s="53" t="s">
        <v>237</v>
      </c>
      <c r="C10" s="54">
        <v>5</v>
      </c>
      <c r="E10" s="160"/>
      <c r="F10" s="161"/>
      <c r="G10" s="161"/>
      <c r="H10" s="162"/>
    </row>
    <row r="11" spans="2:8" ht="22" customHeight="1" x14ac:dyDescent="0.9">
      <c r="B11" s="51" t="s">
        <v>238</v>
      </c>
      <c r="C11" s="52">
        <v>0.5</v>
      </c>
      <c r="E11" s="160"/>
      <c r="F11" s="161"/>
      <c r="G11" s="161"/>
      <c r="H11" s="162"/>
    </row>
    <row r="12" spans="2:8" ht="22" customHeight="1" x14ac:dyDescent="0.9">
      <c r="B12" s="53" t="s">
        <v>181</v>
      </c>
      <c r="C12" s="54">
        <v>1.5</v>
      </c>
      <c r="E12" s="160"/>
      <c r="F12" s="161"/>
      <c r="G12" s="161"/>
      <c r="H12" s="162"/>
    </row>
    <row r="13" spans="2:8" ht="22" customHeight="1" x14ac:dyDescent="0.9">
      <c r="B13" s="51" t="s">
        <v>239</v>
      </c>
      <c r="C13" s="52">
        <v>3</v>
      </c>
      <c r="E13" s="160"/>
      <c r="F13" s="161"/>
      <c r="G13" s="161"/>
      <c r="H13" s="162"/>
    </row>
    <row r="14" spans="2:8" ht="22" customHeight="1" x14ac:dyDescent="0.9">
      <c r="B14" s="53" t="s">
        <v>240</v>
      </c>
      <c r="C14" s="54">
        <v>10</v>
      </c>
      <c r="E14" s="160"/>
      <c r="F14" s="161"/>
      <c r="G14" s="161"/>
      <c r="H14" s="162"/>
    </row>
    <row r="15" spans="2:8" ht="22" customHeight="1" thickBot="1" x14ac:dyDescent="0.95">
      <c r="B15" s="51" t="s">
        <v>241</v>
      </c>
      <c r="C15" s="52">
        <v>3</v>
      </c>
      <c r="E15" s="163"/>
      <c r="F15" s="164"/>
      <c r="G15" s="164"/>
      <c r="H15" s="165"/>
    </row>
    <row r="16" spans="2:8" ht="22" thickTop="1" x14ac:dyDescent="0.9"/>
    <row r="17" spans="2:23" hidden="1" x14ac:dyDescent="0.9">
      <c r="B17" s="11"/>
      <c r="C17" s="11"/>
      <c r="D17" s="11"/>
      <c r="E17" s="11"/>
      <c r="F17" s="11"/>
      <c r="G17" s="11"/>
      <c r="H17" s="11"/>
      <c r="I17" s="11"/>
      <c r="J17" s="11"/>
      <c r="K17" s="11"/>
      <c r="L17" s="11"/>
      <c r="M17" s="11"/>
      <c r="N17" s="11"/>
      <c r="O17" s="11"/>
      <c r="P17" s="11"/>
      <c r="Q17" s="11"/>
      <c r="R17" s="11"/>
      <c r="S17" s="11"/>
      <c r="T17" s="11"/>
      <c r="U17" s="11"/>
      <c r="V17" s="11"/>
      <c r="W17" s="11"/>
    </row>
    <row r="19" spans="2:23" hidden="1" x14ac:dyDescent="0.9">
      <c r="B19" s="11"/>
      <c r="C19" s="11"/>
      <c r="D19" s="11"/>
      <c r="E19" s="11"/>
      <c r="F19" s="11"/>
      <c r="G19" s="11"/>
      <c r="H19" s="11"/>
      <c r="I19" s="11"/>
      <c r="J19" s="11"/>
      <c r="K19" s="11"/>
      <c r="L19" s="11"/>
      <c r="M19" s="11"/>
      <c r="N19" s="11"/>
      <c r="O19" s="11"/>
      <c r="P19" s="11"/>
      <c r="Q19" s="11"/>
      <c r="R19" s="11"/>
      <c r="S19" s="11"/>
      <c r="T19" s="11"/>
      <c r="U19" s="11"/>
      <c r="V19" s="11"/>
      <c r="W19" s="11"/>
    </row>
    <row r="21" spans="2:23" hidden="1" x14ac:dyDescent="0.9">
      <c r="B21" s="11"/>
      <c r="C21" s="11"/>
      <c r="D21" s="11"/>
      <c r="E21" s="11"/>
      <c r="F21" s="11"/>
      <c r="G21" s="11"/>
      <c r="H21" s="11"/>
      <c r="I21" s="11"/>
      <c r="J21" s="11"/>
      <c r="K21" s="11"/>
      <c r="L21" s="11"/>
      <c r="M21" s="11"/>
      <c r="N21" s="11"/>
      <c r="O21" s="11"/>
      <c r="P21" s="11"/>
      <c r="Q21" s="11"/>
      <c r="R21" s="11"/>
      <c r="S21" s="11"/>
      <c r="T21" s="11"/>
      <c r="U21" s="11"/>
      <c r="V21" s="11"/>
      <c r="W21" s="11"/>
    </row>
    <row r="23" spans="2:23" hidden="1" x14ac:dyDescent="0.9">
      <c r="B23" s="11"/>
      <c r="C23" s="11"/>
      <c r="D23" s="11"/>
      <c r="E23" s="11"/>
      <c r="F23" s="11"/>
      <c r="G23" s="11"/>
      <c r="H23" s="11"/>
      <c r="I23" s="11"/>
      <c r="J23" s="11"/>
      <c r="K23" s="11"/>
      <c r="L23" s="11"/>
      <c r="M23" s="11"/>
      <c r="N23" s="11"/>
      <c r="O23" s="11"/>
      <c r="P23" s="11"/>
      <c r="Q23" s="11"/>
      <c r="R23" s="11"/>
      <c r="S23" s="11"/>
      <c r="T23" s="11"/>
      <c r="U23" s="11"/>
      <c r="V23" s="11"/>
      <c r="W23" s="11"/>
    </row>
    <row r="25" spans="2:23" hidden="1" x14ac:dyDescent="0.9">
      <c r="J25" s="21"/>
    </row>
  </sheetData>
  <sheetProtection algorithmName="SHA-512" hashValue="PNUgb7StDrw9kLUkwFSYFVL+tvDxgEkqnRgJ5FmvhB0qLpVvZ0xm03+asXlna8CUN6aIcw1Lk5PPKxAP4Y8IKg==" saltValue="VZGEfSjk605WbY6nmlmqyA==" spinCount="100000" sheet="1" objects="1" scenarios="1"/>
  <mergeCells count="1">
    <mergeCell ref="E2:H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81884-E257-4CD4-830E-0BDC830BE31D}">
  <sheetPr codeName="Sheet19"/>
  <dimension ref="A1:AH12"/>
  <sheetViews>
    <sheetView workbookViewId="0">
      <selection activeCell="S24" sqref="S24"/>
    </sheetView>
  </sheetViews>
  <sheetFormatPr defaultRowHeight="14.5" x14ac:dyDescent="0.35"/>
  <cols>
    <col min="1" max="1" width="14.54296875" bestFit="1" customWidth="1"/>
    <col min="5" max="5" width="15.26953125" bestFit="1" customWidth="1"/>
    <col min="7" max="7" width="10.7265625" bestFit="1" customWidth="1"/>
    <col min="9" max="9" width="14.26953125" bestFit="1" customWidth="1"/>
  </cols>
  <sheetData>
    <row r="1" spans="1:34" x14ac:dyDescent="0.35">
      <c r="A1" t="s">
        <v>2</v>
      </c>
      <c r="B1" t="s">
        <v>4</v>
      </c>
      <c r="C1" t="s">
        <v>8</v>
      </c>
      <c r="D1" t="s">
        <v>16</v>
      </c>
      <c r="E1" t="s">
        <v>2</v>
      </c>
      <c r="F1" t="s">
        <v>83</v>
      </c>
      <c r="G1" t="s">
        <v>105</v>
      </c>
      <c r="H1" t="s">
        <v>112</v>
      </c>
      <c r="I1" t="s">
        <v>120</v>
      </c>
      <c r="J1" t="s">
        <v>132</v>
      </c>
      <c r="K1" t="s">
        <v>140</v>
      </c>
      <c r="L1" t="s">
        <v>160</v>
      </c>
      <c r="M1" t="s">
        <v>162</v>
      </c>
      <c r="P1" t="s">
        <v>120</v>
      </c>
      <c r="S1" t="s">
        <v>201</v>
      </c>
      <c r="W1">
        <f>IF('Terms Of Use'!F7=Lists!S2,1,0)</f>
        <v>0</v>
      </c>
      <c r="X1" s="8"/>
      <c r="Y1" s="8"/>
      <c r="Z1" s="8"/>
      <c r="AA1" s="8"/>
      <c r="AB1" s="8"/>
      <c r="AC1" s="8"/>
      <c r="AD1" s="8"/>
      <c r="AE1" s="8"/>
      <c r="AF1" s="8"/>
      <c r="AG1" s="8"/>
      <c r="AH1" s="8"/>
    </row>
    <row r="2" spans="1:34" x14ac:dyDescent="0.35">
      <c r="A2" t="s">
        <v>3</v>
      </c>
      <c r="B2" t="s">
        <v>5</v>
      </c>
      <c r="C2" t="s">
        <v>9</v>
      </c>
      <c r="D2" t="s">
        <v>17</v>
      </c>
      <c r="E2" t="s">
        <v>82</v>
      </c>
      <c r="F2" t="s">
        <v>84</v>
      </c>
      <c r="G2" t="s">
        <v>106</v>
      </c>
      <c r="H2" t="s">
        <v>113</v>
      </c>
      <c r="I2" t="s">
        <v>121</v>
      </c>
      <c r="J2" t="s">
        <v>133</v>
      </c>
      <c r="K2" t="s">
        <v>145</v>
      </c>
      <c r="L2" t="s">
        <v>161</v>
      </c>
      <c r="M2" t="s">
        <v>163</v>
      </c>
      <c r="P2" t="s">
        <v>130</v>
      </c>
      <c r="S2" t="s">
        <v>183</v>
      </c>
      <c r="W2">
        <f>IF('Terms Of Use'!F13=Lists!S2,1,0)</f>
        <v>0</v>
      </c>
      <c r="X2" s="8"/>
      <c r="Y2" s="8"/>
      <c r="Z2" s="8"/>
      <c r="AA2" s="8"/>
      <c r="AB2" s="8"/>
      <c r="AC2" s="8"/>
      <c r="AD2" s="8"/>
      <c r="AE2" s="8"/>
      <c r="AF2" s="8"/>
      <c r="AG2" s="8"/>
      <c r="AH2" s="8"/>
    </row>
    <row r="3" spans="1:34" x14ac:dyDescent="0.35">
      <c r="B3" t="s">
        <v>6</v>
      </c>
      <c r="C3" t="s">
        <v>10</v>
      </c>
      <c r="F3" t="s">
        <v>85</v>
      </c>
      <c r="G3" t="s">
        <v>107</v>
      </c>
      <c r="H3" t="s">
        <v>114</v>
      </c>
      <c r="I3" t="s">
        <v>122</v>
      </c>
      <c r="J3" t="s">
        <v>134</v>
      </c>
      <c r="K3" t="s">
        <v>146</v>
      </c>
      <c r="M3" t="s">
        <v>164</v>
      </c>
      <c r="W3">
        <f>IF('Terms Of Use'!F19=Lists!S2,1,0)</f>
        <v>0</v>
      </c>
      <c r="X3" s="8"/>
      <c r="Y3" s="8"/>
      <c r="Z3" s="8"/>
      <c r="AA3" s="8"/>
      <c r="AB3" s="8"/>
      <c r="AC3" s="8"/>
      <c r="AD3" s="8"/>
      <c r="AE3" s="8"/>
      <c r="AF3" s="8"/>
      <c r="AG3" s="8"/>
      <c r="AH3" s="8"/>
    </row>
    <row r="4" spans="1:34" x14ac:dyDescent="0.35">
      <c r="C4" t="s">
        <v>11</v>
      </c>
      <c r="F4" t="s">
        <v>86</v>
      </c>
      <c r="H4" t="s">
        <v>115</v>
      </c>
      <c r="I4" t="s">
        <v>123</v>
      </c>
      <c r="J4" t="s">
        <v>135</v>
      </c>
      <c r="M4" t="s">
        <v>165</v>
      </c>
      <c r="W4">
        <f>IF('Terms Of Use'!F26=Lists!S2,1,0)</f>
        <v>0</v>
      </c>
      <c r="X4" s="8"/>
      <c r="Y4" s="8"/>
      <c r="Z4" s="8"/>
      <c r="AA4" s="8"/>
      <c r="AB4" s="8"/>
      <c r="AC4" s="8"/>
      <c r="AD4" s="8"/>
      <c r="AE4" s="8"/>
      <c r="AF4" s="8"/>
      <c r="AG4" s="8"/>
      <c r="AH4" s="8"/>
    </row>
    <row r="5" spans="1:34" x14ac:dyDescent="0.35">
      <c r="H5" t="s">
        <v>116</v>
      </c>
      <c r="I5" t="s">
        <v>124</v>
      </c>
      <c r="J5" t="s">
        <v>136</v>
      </c>
      <c r="W5">
        <f>IF('Terms Of Use'!F35=Lists!S2,1,0)</f>
        <v>0</v>
      </c>
      <c r="X5" s="8"/>
      <c r="Y5" s="8"/>
      <c r="Z5" s="8"/>
      <c r="AA5" s="8"/>
      <c r="AB5" s="8"/>
      <c r="AC5" s="8"/>
      <c r="AD5" s="8"/>
      <c r="AE5" s="8"/>
      <c r="AF5" s="8"/>
      <c r="AG5" s="8"/>
      <c r="AH5" s="8"/>
    </row>
    <row r="6" spans="1:34" x14ac:dyDescent="0.35">
      <c r="I6" t="s">
        <v>125</v>
      </c>
      <c r="J6" t="s">
        <v>137</v>
      </c>
      <c r="W6" t="str">
        <f>IF(SUM(W1:W5)=1,"UNLOCKED","LOCKED")</f>
        <v>LOCKED</v>
      </c>
      <c r="X6" s="8"/>
      <c r="Y6" s="8"/>
      <c r="Z6" s="8"/>
      <c r="AA6" s="8"/>
      <c r="AB6" s="8"/>
      <c r="AC6" s="8"/>
      <c r="AD6" s="8"/>
      <c r="AE6" s="8"/>
      <c r="AF6" s="8"/>
      <c r="AG6" s="8"/>
      <c r="AH6" s="8"/>
    </row>
    <row r="7" spans="1:34" x14ac:dyDescent="0.35">
      <c r="I7" t="s">
        <v>126</v>
      </c>
      <c r="J7" t="s">
        <v>138</v>
      </c>
    </row>
    <row r="8" spans="1:34" x14ac:dyDescent="0.35">
      <c r="I8" t="s">
        <v>127</v>
      </c>
      <c r="J8" t="s">
        <v>139</v>
      </c>
    </row>
    <row r="9" spans="1:34" x14ac:dyDescent="0.35">
      <c r="I9" t="s">
        <v>128</v>
      </c>
      <c r="J9" t="s">
        <v>141</v>
      </c>
    </row>
    <row r="10" spans="1:34" x14ac:dyDescent="0.35">
      <c r="I10" t="s">
        <v>129</v>
      </c>
      <c r="J10" t="s">
        <v>142</v>
      </c>
    </row>
    <row r="11" spans="1:34" x14ac:dyDescent="0.35">
      <c r="I11" t="s">
        <v>130</v>
      </c>
      <c r="J11" t="s">
        <v>143</v>
      </c>
    </row>
    <row r="12" spans="1:34" x14ac:dyDescent="0.35">
      <c r="J12" t="s">
        <v>144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44D46-667D-44EC-8949-C955054190B6}">
  <sheetPr codeName="Sheet2">
    <tabColor theme="6"/>
  </sheetPr>
  <dimension ref="A1:AC61"/>
  <sheetViews>
    <sheetView showGridLines="0" showRowColHeaders="0" topLeftCell="A22" workbookViewId="0">
      <selection activeCell="B45" sqref="B45:AB47"/>
    </sheetView>
  </sheetViews>
  <sheetFormatPr defaultColWidth="0" defaultRowHeight="14.5" zeroHeight="1" x14ac:dyDescent="0.35"/>
  <cols>
    <col min="1" max="1" width="3.453125" style="10" customWidth="1"/>
    <col min="2" max="28" width="4.26953125" style="10" customWidth="1"/>
    <col min="29" max="29" width="8.7265625" style="10" customWidth="1"/>
    <col min="30" max="16384" width="8.7265625" style="10" hidden="1"/>
  </cols>
  <sheetData>
    <row r="1" spans="1:28" ht="14.5" customHeight="1" thickBot="1" x14ac:dyDescent="1.3">
      <c r="A1" s="55"/>
      <c r="B1" s="55"/>
      <c r="C1" s="55"/>
      <c r="D1" s="55"/>
      <c r="E1" s="55"/>
      <c r="F1" s="55"/>
      <c r="G1" s="55"/>
      <c r="H1" s="55"/>
      <c r="I1" s="55"/>
    </row>
    <row r="2" spans="1:28" ht="30" customHeight="1" thickTop="1" x14ac:dyDescent="1.25">
      <c r="A2" s="55"/>
      <c r="B2" s="83"/>
      <c r="C2" s="84"/>
      <c r="D2" s="84"/>
      <c r="E2" s="84"/>
      <c r="F2" s="84"/>
      <c r="G2" s="87" t="s">
        <v>198</v>
      </c>
      <c r="H2" s="87"/>
      <c r="I2" s="87"/>
      <c r="J2" s="87"/>
      <c r="K2" s="87"/>
      <c r="L2" s="87"/>
      <c r="M2" s="87"/>
      <c r="N2" s="87"/>
      <c r="O2" s="87"/>
      <c r="P2" s="87"/>
      <c r="Q2" s="87"/>
      <c r="R2" s="87"/>
      <c r="S2" s="87"/>
      <c r="T2" s="87"/>
      <c r="U2" s="87"/>
      <c r="V2" s="87"/>
      <c r="W2" s="87"/>
      <c r="X2" s="87"/>
      <c r="Y2" s="87"/>
      <c r="Z2" s="87"/>
      <c r="AA2" s="87"/>
      <c r="AB2" s="88"/>
    </row>
    <row r="3" spans="1:28" ht="30" customHeight="1" thickBot="1" x14ac:dyDescent="1.3">
      <c r="A3" s="55"/>
      <c r="B3" s="85"/>
      <c r="C3" s="86"/>
      <c r="D3" s="86"/>
      <c r="E3" s="86"/>
      <c r="F3" s="86"/>
      <c r="G3" s="89"/>
      <c r="H3" s="89"/>
      <c r="I3" s="89"/>
      <c r="J3" s="89"/>
      <c r="K3" s="89"/>
      <c r="L3" s="89"/>
      <c r="M3" s="89"/>
      <c r="N3" s="89"/>
      <c r="O3" s="89"/>
      <c r="P3" s="89"/>
      <c r="Q3" s="89"/>
      <c r="R3" s="89"/>
      <c r="S3" s="89"/>
      <c r="T3" s="89"/>
      <c r="U3" s="89"/>
      <c r="V3" s="89"/>
      <c r="W3" s="89"/>
      <c r="X3" s="89"/>
      <c r="Y3" s="89"/>
      <c r="Z3" s="89"/>
      <c r="AA3" s="89"/>
      <c r="AB3" s="90"/>
    </row>
    <row r="4" spans="1:28" ht="14.5" customHeight="1" x14ac:dyDescent="1.25">
      <c r="A4" s="55"/>
      <c r="B4" s="109" t="s">
        <v>204</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1"/>
    </row>
    <row r="5" spans="1:28" ht="14.5" customHeight="1" x14ac:dyDescent="1.25">
      <c r="A5" s="55"/>
      <c r="B5" s="112"/>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4"/>
    </row>
    <row r="6" spans="1:28" ht="14.5" customHeight="1" x14ac:dyDescent="1.25">
      <c r="A6" s="55"/>
      <c r="B6" s="112"/>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4"/>
    </row>
    <row r="7" spans="1:28" ht="14.5" customHeight="1" x14ac:dyDescent="1.25">
      <c r="A7" s="55"/>
      <c r="B7" s="112"/>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4"/>
    </row>
    <row r="8" spans="1:28" ht="14.5" customHeight="1" x14ac:dyDescent="1.25">
      <c r="A8" s="55"/>
      <c r="B8" s="112"/>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4"/>
    </row>
    <row r="9" spans="1:28" ht="14.5" customHeight="1" x14ac:dyDescent="1.25">
      <c r="A9" s="55"/>
      <c r="B9" s="112"/>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4"/>
    </row>
    <row r="10" spans="1:28" ht="14.5" customHeight="1" x14ac:dyDescent="1.25">
      <c r="A10" s="55"/>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4"/>
    </row>
    <row r="11" spans="1:28" ht="14.5" customHeight="1" x14ac:dyDescent="1.25">
      <c r="A11" s="55"/>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4"/>
    </row>
    <row r="12" spans="1:28" ht="14.5" customHeight="1" x14ac:dyDescent="1.25">
      <c r="A12" s="55"/>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4"/>
    </row>
    <row r="13" spans="1:28" ht="14.5" customHeight="1" x14ac:dyDescent="1.25">
      <c r="A13" s="55"/>
      <c r="B13" s="112"/>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4"/>
    </row>
    <row r="14" spans="1:28" ht="14.5" customHeight="1" x14ac:dyDescent="1.25">
      <c r="A14" s="55"/>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row>
    <row r="15" spans="1:28" ht="14.5" customHeight="1" x14ac:dyDescent="1.25">
      <c r="A15" s="55"/>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4"/>
    </row>
    <row r="16" spans="1:28" ht="14.5" customHeight="1" x14ac:dyDescent="1.25">
      <c r="A16" s="55"/>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4"/>
    </row>
    <row r="17" spans="1:28" ht="14.5" customHeight="1" x14ac:dyDescent="1.25">
      <c r="A17" s="55"/>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4"/>
    </row>
    <row r="18" spans="1:28" ht="14.5" customHeight="1" x14ac:dyDescent="1.25">
      <c r="A18" s="55"/>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4"/>
    </row>
    <row r="19" spans="1:28" ht="14.5" customHeight="1" x14ac:dyDescent="1.25">
      <c r="A19" s="55"/>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4"/>
    </row>
    <row r="20" spans="1:28" ht="14.5" customHeight="1" x14ac:dyDescent="1.25">
      <c r="A20" s="55"/>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4"/>
    </row>
    <row r="21" spans="1:28" ht="14.5" customHeight="1" x14ac:dyDescent="1.25">
      <c r="A21" s="55"/>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4"/>
    </row>
    <row r="22" spans="1:28" ht="14.5" customHeight="1" x14ac:dyDescent="1.25">
      <c r="A22" s="55"/>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4"/>
    </row>
    <row r="23" spans="1:28" ht="14.5" customHeight="1" x14ac:dyDescent="0.35">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4"/>
    </row>
    <row r="24" spans="1:28" ht="14.5" customHeight="1" x14ac:dyDescent="0.35">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4"/>
    </row>
    <row r="25" spans="1:28" ht="14.5" customHeight="1" x14ac:dyDescent="0.35">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4"/>
    </row>
    <row r="26" spans="1:28" ht="14.5" customHeight="1" x14ac:dyDescent="0.35">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4"/>
    </row>
    <row r="27" spans="1:28" ht="14.5" customHeight="1" x14ac:dyDescent="0.35">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4"/>
    </row>
    <row r="28" spans="1:28" ht="14.5" customHeight="1" x14ac:dyDescent="0.35">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4"/>
    </row>
    <row r="29" spans="1:28" ht="14.5" customHeight="1" x14ac:dyDescent="0.35">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4"/>
    </row>
    <row r="30" spans="1:28" ht="14.5" customHeight="1" x14ac:dyDescent="0.35">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4"/>
    </row>
    <row r="31" spans="1:28" ht="14.5" customHeight="1" x14ac:dyDescent="0.35">
      <c r="B31" s="112"/>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4"/>
    </row>
    <row r="32" spans="1:28" ht="14.5" customHeight="1" x14ac:dyDescent="0.35">
      <c r="B32" s="112"/>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4"/>
    </row>
    <row r="33" spans="2:28" ht="14.5" customHeight="1" x14ac:dyDescent="0.35">
      <c r="B33" s="112"/>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4"/>
    </row>
    <row r="34" spans="2:28" ht="14.5" customHeight="1" x14ac:dyDescent="0.35">
      <c r="B34" s="112"/>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4"/>
    </row>
    <row r="35" spans="2:28" ht="14.5" customHeight="1" x14ac:dyDescent="0.35">
      <c r="B35" s="112"/>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4"/>
    </row>
    <row r="36" spans="2:28" ht="14.5" customHeight="1" x14ac:dyDescent="0.35">
      <c r="B36" s="112"/>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4"/>
    </row>
    <row r="37" spans="2:28" ht="14.5" customHeight="1" x14ac:dyDescent="0.35">
      <c r="B37" s="112"/>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4"/>
    </row>
    <row r="38" spans="2:28" ht="14.5" customHeight="1" x14ac:dyDescent="0.35">
      <c r="B38" s="112"/>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4"/>
    </row>
    <row r="39" spans="2:28" ht="14.5" customHeight="1" x14ac:dyDescent="0.35">
      <c r="B39" s="112"/>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4"/>
    </row>
    <row r="40" spans="2:28" ht="14.5" customHeight="1" x14ac:dyDescent="0.35">
      <c r="B40" s="112"/>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4"/>
    </row>
    <row r="41" spans="2:28" ht="14.5" customHeight="1" thickBot="1" x14ac:dyDescent="0.4">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7"/>
    </row>
    <row r="42" spans="2:28" ht="38.5" customHeight="1" x14ac:dyDescent="0.35">
      <c r="B42" s="108" t="s">
        <v>197</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row>
    <row r="43" spans="2:28" ht="14.5" customHeight="1" x14ac:dyDescent="0.35">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row>
    <row r="44" spans="2:28" ht="15" thickBot="1" x14ac:dyDescent="0.4"/>
    <row r="45" spans="2:28" ht="15.5" thickTop="1" thickBot="1" x14ac:dyDescent="0.4">
      <c r="B45" s="107" t="s">
        <v>199</v>
      </c>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row>
    <row r="46" spans="2:28" ht="15.5" thickTop="1" thickBot="1" x14ac:dyDescent="0.4">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row>
    <row r="47" spans="2:28" ht="15.5" thickTop="1" thickBot="1" x14ac:dyDescent="0.4">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row>
    <row r="48" spans="2:28" ht="15.5" thickTop="1" thickBot="1" x14ac:dyDescent="0.4"/>
    <row r="49" spans="2:28" ht="15.5" thickTop="1" thickBot="1" x14ac:dyDescent="0.4">
      <c r="B49" s="107" t="s">
        <v>187</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row>
    <row r="50" spans="2:28" ht="15.5" thickTop="1" thickBot="1" x14ac:dyDescent="0.4">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row>
    <row r="51" spans="2:28" ht="15.5" thickTop="1" thickBot="1" x14ac:dyDescent="0.4">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row>
    <row r="52" spans="2:28" ht="15.5" thickTop="1" thickBot="1" x14ac:dyDescent="0.4"/>
    <row r="53" spans="2:28" ht="15.5" thickTop="1" thickBot="1" x14ac:dyDescent="0.4">
      <c r="B53" s="107" t="s">
        <v>188</v>
      </c>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row>
    <row r="54" spans="2:28" ht="15.5" thickTop="1" thickBot="1" x14ac:dyDescent="0.4">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row>
    <row r="55" spans="2:28" ht="15.5" thickTop="1" thickBot="1" x14ac:dyDescent="0.4">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row>
    <row r="56" spans="2:28" ht="15.5" thickTop="1" thickBot="1" x14ac:dyDescent="0.4"/>
    <row r="57" spans="2:28" ht="15.5" thickTop="1" thickBot="1" x14ac:dyDescent="0.4">
      <c r="B57" s="107" t="s">
        <v>189</v>
      </c>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row>
    <row r="58" spans="2:28" ht="15.5" thickTop="1" thickBot="1" x14ac:dyDescent="0.4">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row>
    <row r="59" spans="2:28" ht="15.5" thickTop="1" thickBot="1" x14ac:dyDescent="0.4">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row>
    <row r="60" spans="2:28" ht="15" thickTop="1" x14ac:dyDescent="0.35"/>
    <row r="61" spans="2:28" x14ac:dyDescent="0.35"/>
  </sheetData>
  <sheetProtection algorithmName="SHA-512" hashValue="4zEOraggtKU4dy1atWQE+WxJxMYcjwz84cP4csOzB9LUFuD6v4SyZZCvWcJeaEQ1BLYubQRo7J5Ti81cF5m4Eg==" saltValue="R/hWfVpQJFNSv3CnZKDeyg==" spinCount="100000" sheet="1" objects="1" scenarios="1"/>
  <mergeCells count="8">
    <mergeCell ref="B53:AB55"/>
    <mergeCell ref="B57:AB59"/>
    <mergeCell ref="B42:AB43"/>
    <mergeCell ref="B2:F3"/>
    <mergeCell ref="G2:AB3"/>
    <mergeCell ref="B45:AB47"/>
    <mergeCell ref="B49:AB51"/>
    <mergeCell ref="B4:AB41"/>
  </mergeCells>
  <hyperlinks>
    <hyperlink ref="B45:AB47" r:id="rId1" display="New Connections Charging Arrangements" xr:uid="{A0329C76-42FB-4B9C-88F5-E5CE31FCAD33}"/>
    <hyperlink ref="B49:AB51" r:id="rId2" display="Annual Contestability Summary" xr:uid="{7B8A1686-DAF6-4102-A9A9-CB4EFFB41C6F}"/>
    <hyperlink ref="B53:AB55" r:id="rId3" display="Design &amp; Construction Specifications" xr:uid="{06C61328-5111-416E-A90E-5F6717BF4FC8}"/>
    <hyperlink ref="B57:AB59" r:id="rId4" display="Environmental Incentives &amp; Credits" xr:uid="{5B1B2BB8-43F5-4EBD-BF6F-8439D4FDBD35}"/>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3A75C-6ED2-456E-ADED-A68F2CDB9142}">
  <sheetPr codeName="Sheet20"/>
  <dimension ref="A1:CA58"/>
  <sheetViews>
    <sheetView workbookViewId="0">
      <selection activeCell="B3" sqref="B3"/>
    </sheetView>
  </sheetViews>
  <sheetFormatPr defaultRowHeight="14.5" x14ac:dyDescent="0.35"/>
  <cols>
    <col min="2" max="2" width="14.81640625" bestFit="1" customWidth="1"/>
    <col min="4" max="4" width="37.7265625" customWidth="1"/>
    <col min="9" max="9" width="41.81640625" bestFit="1" customWidth="1"/>
    <col min="30" max="30" width="15.26953125" bestFit="1" customWidth="1"/>
    <col min="31" max="31" width="12.453125" bestFit="1" customWidth="1"/>
    <col min="32" max="32" width="30.26953125" bestFit="1" customWidth="1"/>
    <col min="50" max="50" width="16.54296875" bestFit="1" customWidth="1"/>
    <col min="54" max="54" width="10.81640625" bestFit="1" customWidth="1"/>
    <col min="64" max="64" width="30.81640625" customWidth="1"/>
    <col min="69" max="69" width="13.1796875" bestFit="1" customWidth="1"/>
    <col min="70" max="70" width="17.1796875" bestFit="1" customWidth="1"/>
    <col min="71" max="71" width="29.453125" bestFit="1" customWidth="1"/>
    <col min="76" max="76" width="43.54296875" bestFit="1" customWidth="1"/>
    <col min="78" max="78" width="9.81640625" bestFit="1" customWidth="1"/>
  </cols>
  <sheetData>
    <row r="1" spans="1:79" x14ac:dyDescent="0.35">
      <c r="A1" s="9" t="e">
        <f>'1. Application Fees'!C2+'2. Branch Connections'!C2+'3. Main Laying'!C2+'4. Chlorinations For Self Laid'!C2+'5. Additional Phases'!C2+'6. On-site Service Connections'!C2+'7. On-site Manifolds'!C2+'8. Meters For Self Lay'!C2+'9. Meters For Flats'!C2+'10. Traffic Management'!B1+'10. Network Assembly'!D2+'12. Disconnection And Capping'!B1+'11. Infrastructure Charges'!C2+'12. NHH Infrastructure Charges'!C2</f>
        <v>#VALUE!</v>
      </c>
    </row>
    <row r="2" spans="1:79" x14ac:dyDescent="0.35">
      <c r="A2" t="s">
        <v>2</v>
      </c>
      <c r="B2" t="s">
        <v>4</v>
      </c>
      <c r="C2" t="s">
        <v>8</v>
      </c>
    </row>
    <row r="3" spans="1:79" x14ac:dyDescent="0.35">
      <c r="A3" t="s">
        <v>3</v>
      </c>
      <c r="B3" t="s">
        <v>5</v>
      </c>
      <c r="C3" t="s">
        <v>9</v>
      </c>
    </row>
    <row r="4" spans="1:79" x14ac:dyDescent="0.35">
      <c r="B4" t="s">
        <v>6</v>
      </c>
      <c r="C4" t="s">
        <v>10</v>
      </c>
    </row>
    <row r="5" spans="1:79" x14ac:dyDescent="0.35">
      <c r="C5" t="s">
        <v>11</v>
      </c>
      <c r="BL5" s="202" t="s">
        <v>166</v>
      </c>
      <c r="BM5" s="202"/>
      <c r="BN5" s="202"/>
      <c r="BO5" s="202"/>
    </row>
    <row r="6" spans="1:79" x14ac:dyDescent="0.35">
      <c r="BH6" s="202" t="s">
        <v>147</v>
      </c>
      <c r="BI6" s="202"/>
      <c r="BM6" t="s">
        <v>148</v>
      </c>
      <c r="BN6" t="s">
        <v>148</v>
      </c>
      <c r="BO6" t="s">
        <v>149</v>
      </c>
      <c r="BQ6" s="202" t="s">
        <v>168</v>
      </c>
      <c r="BR6" s="202"/>
      <c r="BS6" s="202"/>
      <c r="BT6" s="202"/>
    </row>
    <row r="7" spans="1:79" x14ac:dyDescent="0.35">
      <c r="BB7" s="202" t="s">
        <v>119</v>
      </c>
      <c r="BC7" s="202"/>
      <c r="BD7" s="202"/>
      <c r="BE7" s="202"/>
      <c r="BH7" t="s">
        <v>120</v>
      </c>
      <c r="BI7">
        <v>56</v>
      </c>
      <c r="BL7" t="s">
        <v>132</v>
      </c>
      <c r="BM7" t="s">
        <v>150</v>
      </c>
      <c r="BN7">
        <v>361</v>
      </c>
      <c r="BO7">
        <v>25</v>
      </c>
      <c r="BQ7" t="s">
        <v>167</v>
      </c>
      <c r="BR7" t="s">
        <v>0</v>
      </c>
      <c r="BS7" t="s">
        <v>169</v>
      </c>
      <c r="BT7" t="s">
        <v>13</v>
      </c>
      <c r="BU7" t="s">
        <v>167</v>
      </c>
      <c r="BV7" t="s">
        <v>170</v>
      </c>
      <c r="BW7" t="s">
        <v>0</v>
      </c>
      <c r="BX7" t="s">
        <v>171</v>
      </c>
      <c r="BY7" t="s">
        <v>13</v>
      </c>
      <c r="BZ7" t="s">
        <v>172</v>
      </c>
      <c r="CA7" t="s">
        <v>173</v>
      </c>
    </row>
    <row r="8" spans="1:79" x14ac:dyDescent="0.35">
      <c r="AU8" s="201" t="s">
        <v>117</v>
      </c>
      <c r="AV8" s="201"/>
      <c r="AW8" s="201"/>
      <c r="AX8" s="201"/>
      <c r="AY8" s="201"/>
      <c r="BB8" t="s">
        <v>1</v>
      </c>
      <c r="BC8" t="s">
        <v>118</v>
      </c>
      <c r="BD8" t="s">
        <v>7</v>
      </c>
      <c r="BH8" t="s">
        <v>121</v>
      </c>
      <c r="BI8">
        <v>56</v>
      </c>
      <c r="BL8" t="s">
        <v>133</v>
      </c>
      <c r="BM8" t="s">
        <v>150</v>
      </c>
      <c r="BN8">
        <v>316</v>
      </c>
      <c r="BO8">
        <v>25</v>
      </c>
      <c r="BQ8" t="s">
        <v>160</v>
      </c>
      <c r="BR8" t="s">
        <v>162</v>
      </c>
      <c r="BS8" t="str">
        <f t="shared" ref="BS8:BS15" si="0">BQ8&amp;BR8</f>
        <v>DisconnectionUnder 150mm</v>
      </c>
      <c r="BT8">
        <v>2307</v>
      </c>
      <c r="BU8" t="s">
        <v>160</v>
      </c>
      <c r="BV8" t="s">
        <v>4</v>
      </c>
      <c r="BW8" t="s">
        <v>162</v>
      </c>
      <c r="BX8" t="str">
        <f>BU8&amp;BV8&amp;BW8</f>
        <v>DisconnectionRoadUnder 150mm</v>
      </c>
      <c r="BY8">
        <v>2254</v>
      </c>
      <c r="BZ8">
        <v>281</v>
      </c>
      <c r="CA8">
        <v>182</v>
      </c>
    </row>
    <row r="9" spans="1:79" x14ac:dyDescent="0.35">
      <c r="AC9" s="201" t="s">
        <v>108</v>
      </c>
      <c r="AD9" s="201"/>
      <c r="AE9" s="201"/>
      <c r="AF9" s="201"/>
      <c r="AG9" s="201"/>
      <c r="AH9" s="201"/>
      <c r="AI9" s="201"/>
      <c r="AJ9" s="201"/>
      <c r="AK9" s="201"/>
      <c r="AL9" s="201"/>
      <c r="AM9" s="201"/>
      <c r="AN9" s="201"/>
      <c r="AU9" t="s">
        <v>109</v>
      </c>
      <c r="AV9" t="s">
        <v>110</v>
      </c>
      <c r="AW9" t="s">
        <v>0</v>
      </c>
      <c r="AX9" t="s">
        <v>14</v>
      </c>
      <c r="AY9" t="s">
        <v>13</v>
      </c>
      <c r="BB9" t="s">
        <v>16</v>
      </c>
      <c r="BC9" t="s">
        <v>112</v>
      </c>
      <c r="BD9" t="str">
        <f>BB9&amp;BC9</f>
        <v>Yes4 Way</v>
      </c>
      <c r="BE9">
        <f>BE14+58</f>
        <v>2356</v>
      </c>
      <c r="BH9" t="s">
        <v>122</v>
      </c>
      <c r="BI9">
        <v>75</v>
      </c>
      <c r="BL9" t="s">
        <v>134</v>
      </c>
      <c r="BM9" t="s">
        <v>150</v>
      </c>
      <c r="BN9">
        <v>482</v>
      </c>
      <c r="BO9">
        <v>39</v>
      </c>
      <c r="BQ9" t="s">
        <v>160</v>
      </c>
      <c r="BR9" t="s">
        <v>163</v>
      </c>
      <c r="BS9" t="str">
        <f t="shared" si="0"/>
        <v>Disconnection150mm to &lt;300mm</v>
      </c>
      <c r="BT9">
        <v>2814</v>
      </c>
      <c r="BU9" t="s">
        <v>160</v>
      </c>
      <c r="BV9" t="s">
        <v>4</v>
      </c>
      <c r="BW9" t="s">
        <v>163</v>
      </c>
      <c r="BX9" t="str">
        <f t="shared" ref="BX9:BX31" si="1">BU9&amp;BV9&amp;BW9</f>
        <v>DisconnectionRoad150mm to &lt;300mm</v>
      </c>
      <c r="BY9">
        <v>2704</v>
      </c>
      <c r="BZ9">
        <v>281</v>
      </c>
      <c r="CA9">
        <v>182</v>
      </c>
    </row>
    <row r="10" spans="1:79" x14ac:dyDescent="0.35">
      <c r="A10" s="201" t="s">
        <v>12</v>
      </c>
      <c r="B10" s="201"/>
      <c r="C10" s="201"/>
      <c r="D10" s="201"/>
      <c r="E10" s="201"/>
      <c r="I10" s="202" t="s">
        <v>76</v>
      </c>
      <c r="J10" s="202"/>
      <c r="K10" s="202"/>
      <c r="O10" s="202" t="s">
        <v>72</v>
      </c>
      <c r="P10" s="202"/>
      <c r="S10" s="202" t="s">
        <v>75</v>
      </c>
      <c r="T10" s="202"/>
      <c r="W10" s="202" t="s">
        <v>81</v>
      </c>
      <c r="X10" s="202"/>
      <c r="Y10" s="202"/>
      <c r="Z10" s="202"/>
      <c r="AF10" t="s">
        <v>102</v>
      </c>
      <c r="AG10" t="s">
        <v>91</v>
      </c>
      <c r="AI10" t="s">
        <v>98</v>
      </c>
      <c r="AJ10" t="s">
        <v>99</v>
      </c>
      <c r="AK10" t="s">
        <v>100</v>
      </c>
      <c r="AL10" t="s">
        <v>92</v>
      </c>
      <c r="AM10" t="s">
        <v>93</v>
      </c>
      <c r="AN10" t="s">
        <v>94</v>
      </c>
      <c r="AU10" t="s">
        <v>16</v>
      </c>
      <c r="AV10" t="s">
        <v>16</v>
      </c>
      <c r="AW10" t="s">
        <v>105</v>
      </c>
      <c r="AX10" t="str">
        <f>AU10&amp;AV10&amp;AW10</f>
        <v>YesYes25-32mm</v>
      </c>
      <c r="AY10">
        <v>415</v>
      </c>
      <c r="BB10" t="s">
        <v>16</v>
      </c>
      <c r="BC10" t="s">
        <v>113</v>
      </c>
      <c r="BD10" t="str">
        <f t="shared" ref="BD10:BD18" si="2">BB10&amp;BC10</f>
        <v>Yes5 Way</v>
      </c>
      <c r="BE10">
        <f t="shared" ref="BE10:BE13" si="3">BE15+58</f>
        <v>2572</v>
      </c>
      <c r="BH10" t="s">
        <v>123</v>
      </c>
      <c r="BI10">
        <v>75</v>
      </c>
      <c r="BL10" t="s">
        <v>135</v>
      </c>
      <c r="BM10" t="s">
        <v>150</v>
      </c>
      <c r="BN10">
        <v>361</v>
      </c>
      <c r="BO10">
        <v>25</v>
      </c>
      <c r="BQ10" t="s">
        <v>160</v>
      </c>
      <c r="BR10" t="s">
        <v>164</v>
      </c>
      <c r="BS10" t="str">
        <f t="shared" si="0"/>
        <v>Disconnection300mm to &lt;450mm</v>
      </c>
      <c r="BT10">
        <v>4353</v>
      </c>
      <c r="BU10" t="s">
        <v>160</v>
      </c>
      <c r="BV10" t="s">
        <v>4</v>
      </c>
      <c r="BW10" t="s">
        <v>164</v>
      </c>
      <c r="BX10" t="str">
        <f t="shared" si="1"/>
        <v>DisconnectionRoad300mm to &lt;450mm</v>
      </c>
      <c r="BY10">
        <v>4402</v>
      </c>
      <c r="BZ10">
        <v>281</v>
      </c>
      <c r="CA10">
        <v>182</v>
      </c>
    </row>
    <row r="11" spans="1:79" x14ac:dyDescent="0.35">
      <c r="A11" t="s">
        <v>2</v>
      </c>
      <c r="B11" t="s">
        <v>4</v>
      </c>
      <c r="C11" t="s">
        <v>8</v>
      </c>
      <c r="D11" t="str">
        <f>A11&amp;B11&amp;C11&amp;"No"</f>
        <v>Yorkshire WaterRoad63-125mmNo</v>
      </c>
      <c r="E11">
        <v>2997</v>
      </c>
      <c r="I11" t="s">
        <v>19</v>
      </c>
      <c r="J11">
        <v>158</v>
      </c>
      <c r="K11">
        <v>25</v>
      </c>
      <c r="O11" t="s">
        <v>68</v>
      </c>
      <c r="P11">
        <v>2910</v>
      </c>
      <c r="S11" t="s">
        <v>8</v>
      </c>
      <c r="T11">
        <v>319</v>
      </c>
      <c r="W11" t="s">
        <v>2</v>
      </c>
      <c r="X11" t="s">
        <v>8</v>
      </c>
      <c r="Y11" t="str">
        <f>W11&amp;X11</f>
        <v>Yorkshire Water63-125mm</v>
      </c>
      <c r="Z11">
        <v>551</v>
      </c>
      <c r="AC11" t="s">
        <v>16</v>
      </c>
      <c r="AD11" t="s">
        <v>2</v>
      </c>
      <c r="AE11" t="s">
        <v>83</v>
      </c>
      <c r="AF11" t="str">
        <f>AC11&amp;AD11&amp;AE11</f>
        <v>YesYorkshire WaterNAV Scheme</v>
      </c>
      <c r="AG11">
        <f>SUM(AK11:AN11)</f>
        <v>800</v>
      </c>
      <c r="AH11" t="s">
        <v>95</v>
      </c>
      <c r="AI11">
        <v>277</v>
      </c>
      <c r="AJ11">
        <v>218</v>
      </c>
      <c r="AK11">
        <f>AI11+AJ11</f>
        <v>495</v>
      </c>
      <c r="AL11">
        <v>217</v>
      </c>
      <c r="AM11">
        <v>46</v>
      </c>
      <c r="AN11">
        <v>42</v>
      </c>
      <c r="AU11" t="s">
        <v>16</v>
      </c>
      <c r="AV11" t="s">
        <v>16</v>
      </c>
      <c r="AW11" t="s">
        <v>106</v>
      </c>
      <c r="AX11" t="str">
        <f t="shared" ref="AX11:AX21" si="4">AU11&amp;AV11&amp;AW11</f>
        <v>YesYes63-90mm</v>
      </c>
      <c r="AY11">
        <v>44</v>
      </c>
      <c r="BB11" t="s">
        <v>16</v>
      </c>
      <c r="BC11" t="s">
        <v>114</v>
      </c>
      <c r="BD11" t="str">
        <f t="shared" si="2"/>
        <v>Yes6 Way</v>
      </c>
      <c r="BE11">
        <f t="shared" si="3"/>
        <v>2701</v>
      </c>
      <c r="BH11" t="s">
        <v>124</v>
      </c>
      <c r="BI11">
        <v>135</v>
      </c>
      <c r="BL11" t="s">
        <v>136</v>
      </c>
      <c r="BM11" t="s">
        <v>150</v>
      </c>
      <c r="BN11">
        <v>271</v>
      </c>
      <c r="BO11">
        <v>25</v>
      </c>
      <c r="BQ11" t="s">
        <v>160</v>
      </c>
      <c r="BR11" t="s">
        <v>165</v>
      </c>
      <c r="BS11" t="str">
        <f t="shared" si="0"/>
        <v>Disconnection450mm to &lt;600mm</v>
      </c>
      <c r="BT11">
        <v>6570</v>
      </c>
      <c r="BU11" t="s">
        <v>160</v>
      </c>
      <c r="BV11" t="s">
        <v>4</v>
      </c>
      <c r="BW11" t="s">
        <v>165</v>
      </c>
      <c r="BX11" t="str">
        <f t="shared" si="1"/>
        <v>DisconnectionRoad450mm to &lt;600mm</v>
      </c>
      <c r="BY11">
        <v>7727</v>
      </c>
      <c r="BZ11">
        <v>281</v>
      </c>
      <c r="CA11">
        <v>182</v>
      </c>
    </row>
    <row r="12" spans="1:79" x14ac:dyDescent="0.35">
      <c r="A12" t="s">
        <v>2</v>
      </c>
      <c r="B12" t="s">
        <v>4</v>
      </c>
      <c r="C12" t="s">
        <v>9</v>
      </c>
      <c r="D12" t="str">
        <f t="shared" ref="D12:D34" si="5">A12&amp;B12&amp;C12&amp;"No"</f>
        <v>Yorkshire WaterRoad160-225mmNo</v>
      </c>
      <c r="E12">
        <v>3975</v>
      </c>
      <c r="I12" t="s">
        <v>20</v>
      </c>
      <c r="J12">
        <v>265</v>
      </c>
      <c r="K12">
        <v>34</v>
      </c>
      <c r="O12" t="s">
        <v>69</v>
      </c>
      <c r="P12">
        <v>2660</v>
      </c>
      <c r="S12" t="s">
        <v>9</v>
      </c>
      <c r="T12">
        <v>621</v>
      </c>
      <c r="W12" t="s">
        <v>2</v>
      </c>
      <c r="X12" t="s">
        <v>9</v>
      </c>
      <c r="Y12" t="str">
        <f t="shared" ref="Y12:Y18" si="6">W12&amp;X12</f>
        <v>Yorkshire Water160-225mm</v>
      </c>
      <c r="Z12">
        <v>1436</v>
      </c>
      <c r="AC12" t="s">
        <v>16</v>
      </c>
      <c r="AD12" t="s">
        <v>2</v>
      </c>
      <c r="AE12" t="s">
        <v>84</v>
      </c>
      <c r="AF12" t="str">
        <f t="shared" ref="AF12:AF26" si="7">AC12&amp;AD12&amp;AE12</f>
        <v>YesYorkshire Water1-100</v>
      </c>
      <c r="AG12">
        <f t="shared" ref="AG12:AG22" si="8">SUM(AK12:AN12)</f>
        <v>1962</v>
      </c>
      <c r="AH12" t="s">
        <v>101</v>
      </c>
      <c r="AI12">
        <v>277</v>
      </c>
      <c r="AJ12">
        <v>1380</v>
      </c>
      <c r="AK12">
        <f t="shared" ref="AK12:AK22" si="9">AI12+AJ12</f>
        <v>1657</v>
      </c>
      <c r="AL12">
        <v>217</v>
      </c>
      <c r="AM12">
        <v>46</v>
      </c>
      <c r="AN12">
        <v>42</v>
      </c>
      <c r="AU12" t="s">
        <v>16</v>
      </c>
      <c r="AV12" t="s">
        <v>16</v>
      </c>
      <c r="AW12" t="s">
        <v>107</v>
      </c>
      <c r="AX12" t="str">
        <f t="shared" si="4"/>
        <v>YesYes110-125mm</v>
      </c>
      <c r="AY12">
        <v>473</v>
      </c>
      <c r="BB12" t="s">
        <v>16</v>
      </c>
      <c r="BC12" t="s">
        <v>115</v>
      </c>
      <c r="BD12" t="str">
        <f t="shared" si="2"/>
        <v>Yes7 Way</v>
      </c>
      <c r="BE12">
        <f t="shared" si="3"/>
        <v>2969</v>
      </c>
      <c r="BH12" t="s">
        <v>125</v>
      </c>
      <c r="BI12">
        <v>140</v>
      </c>
      <c r="BL12" t="s">
        <v>137</v>
      </c>
      <c r="BM12" t="s">
        <v>150</v>
      </c>
      <c r="BN12">
        <v>305</v>
      </c>
      <c r="BO12">
        <v>25</v>
      </c>
      <c r="BQ12" t="s">
        <v>161</v>
      </c>
      <c r="BR12" t="s">
        <v>162</v>
      </c>
      <c r="BS12" t="str">
        <f t="shared" si="0"/>
        <v>CapUnder 150mm</v>
      </c>
      <c r="BT12">
        <v>2307</v>
      </c>
      <c r="BU12" t="s">
        <v>160</v>
      </c>
      <c r="BV12" t="s">
        <v>5</v>
      </c>
      <c r="BW12" t="s">
        <v>162</v>
      </c>
      <c r="BX12" t="str">
        <f t="shared" si="1"/>
        <v>DisconnectionFootpathUnder 150mm</v>
      </c>
      <c r="BY12">
        <v>2246</v>
      </c>
      <c r="BZ12">
        <v>279</v>
      </c>
      <c r="CA12">
        <v>180</v>
      </c>
    </row>
    <row r="13" spans="1:79" x14ac:dyDescent="0.35">
      <c r="A13" t="s">
        <v>2</v>
      </c>
      <c r="B13" t="s">
        <v>4</v>
      </c>
      <c r="C13" t="s">
        <v>10</v>
      </c>
      <c r="D13" t="str">
        <f t="shared" si="5"/>
        <v>Yorkshire WaterRoad250-400mmNo</v>
      </c>
      <c r="E13">
        <v>9643</v>
      </c>
      <c r="I13" t="s">
        <v>21</v>
      </c>
      <c r="J13">
        <v>322</v>
      </c>
      <c r="K13">
        <v>54</v>
      </c>
      <c r="O13" t="s">
        <v>70</v>
      </c>
      <c r="P13">
        <v>2882</v>
      </c>
      <c r="S13" t="s">
        <v>10</v>
      </c>
      <c r="T13">
        <v>1517</v>
      </c>
      <c r="W13" t="s">
        <v>2</v>
      </c>
      <c r="X13" t="s">
        <v>10</v>
      </c>
      <c r="Y13" t="str">
        <f t="shared" si="6"/>
        <v>Yorkshire Water250-400mm</v>
      </c>
      <c r="Z13">
        <v>3385</v>
      </c>
      <c r="AC13" t="s">
        <v>16</v>
      </c>
      <c r="AD13" t="s">
        <v>2</v>
      </c>
      <c r="AE13" t="s">
        <v>85</v>
      </c>
      <c r="AF13" t="str">
        <f t="shared" si="7"/>
        <v>YesYorkshire Water101-200</v>
      </c>
      <c r="AG13">
        <f t="shared" si="8"/>
        <v>2322</v>
      </c>
      <c r="AH13" t="s">
        <v>96</v>
      </c>
      <c r="AI13">
        <v>277</v>
      </c>
      <c r="AJ13">
        <v>1740</v>
      </c>
      <c r="AK13">
        <f t="shared" si="9"/>
        <v>2017</v>
      </c>
      <c r="AL13">
        <v>217</v>
      </c>
      <c r="AM13">
        <v>46</v>
      </c>
      <c r="AN13">
        <v>42</v>
      </c>
      <c r="AU13" t="s">
        <v>16</v>
      </c>
      <c r="AV13" t="s">
        <v>17</v>
      </c>
      <c r="AW13" t="s">
        <v>105</v>
      </c>
      <c r="AX13" t="str">
        <f t="shared" si="4"/>
        <v>YesNo25-32mm</v>
      </c>
      <c r="AY13">
        <v>389</v>
      </c>
      <c r="BB13" t="s">
        <v>16</v>
      </c>
      <c r="BC13" t="s">
        <v>116</v>
      </c>
      <c r="BD13" t="str">
        <f t="shared" si="2"/>
        <v>Yes8 Way</v>
      </c>
      <c r="BE13">
        <f t="shared" si="3"/>
        <v>3350</v>
      </c>
      <c r="BH13" t="s">
        <v>126</v>
      </c>
      <c r="BI13">
        <v>161</v>
      </c>
      <c r="BL13" t="s">
        <v>138</v>
      </c>
      <c r="BM13" t="s">
        <v>150</v>
      </c>
      <c r="BN13">
        <v>405</v>
      </c>
      <c r="BO13">
        <v>36</v>
      </c>
      <c r="BQ13" t="s">
        <v>161</v>
      </c>
      <c r="BR13" t="s">
        <v>163</v>
      </c>
      <c r="BS13" t="str">
        <f t="shared" si="0"/>
        <v>Cap150mm to &lt;300mm</v>
      </c>
      <c r="BT13">
        <v>2814</v>
      </c>
      <c r="BU13" t="s">
        <v>160</v>
      </c>
      <c r="BV13" t="s">
        <v>5</v>
      </c>
      <c r="BW13" t="s">
        <v>163</v>
      </c>
      <c r="BX13" t="str">
        <f t="shared" si="1"/>
        <v>DisconnectionFootpath150mm to &lt;300mm</v>
      </c>
      <c r="BY13">
        <v>2693</v>
      </c>
      <c r="BZ13">
        <v>279</v>
      </c>
      <c r="CA13">
        <v>180</v>
      </c>
    </row>
    <row r="14" spans="1:79" x14ac:dyDescent="0.35">
      <c r="A14" t="s">
        <v>2</v>
      </c>
      <c r="B14" t="s">
        <v>4</v>
      </c>
      <c r="C14" t="s">
        <v>11</v>
      </c>
      <c r="D14" t="str">
        <f t="shared" si="5"/>
        <v>Yorkshire WaterRoad450-560mmNo</v>
      </c>
      <c r="E14">
        <v>23278</v>
      </c>
      <c r="I14" t="s">
        <v>22</v>
      </c>
      <c r="J14">
        <v>452</v>
      </c>
      <c r="K14">
        <v>81</v>
      </c>
      <c r="O14" t="s">
        <v>71</v>
      </c>
      <c r="P14">
        <v>2633</v>
      </c>
      <c r="S14" t="s">
        <v>11</v>
      </c>
      <c r="T14">
        <v>2220</v>
      </c>
      <c r="W14" t="s">
        <v>2</v>
      </c>
      <c r="X14" t="s">
        <v>11</v>
      </c>
      <c r="Y14" t="str">
        <f t="shared" si="6"/>
        <v>Yorkshire Water450-560mm</v>
      </c>
      <c r="Z14">
        <v>7527</v>
      </c>
      <c r="AC14" t="s">
        <v>16</v>
      </c>
      <c r="AD14" t="s">
        <v>2</v>
      </c>
      <c r="AE14" t="s">
        <v>86</v>
      </c>
      <c r="AF14" t="str">
        <f t="shared" si="7"/>
        <v>YesYorkshire Water201+</v>
      </c>
      <c r="AG14">
        <f t="shared" si="8"/>
        <v>2864</v>
      </c>
      <c r="AH14" t="s">
        <v>97</v>
      </c>
      <c r="AI14">
        <v>277</v>
      </c>
      <c r="AJ14">
        <v>2282</v>
      </c>
      <c r="AK14">
        <f t="shared" si="9"/>
        <v>2559</v>
      </c>
      <c r="AL14">
        <v>217</v>
      </c>
      <c r="AM14">
        <v>46</v>
      </c>
      <c r="AN14">
        <v>42</v>
      </c>
      <c r="AU14" t="s">
        <v>16</v>
      </c>
      <c r="AV14" t="s">
        <v>17</v>
      </c>
      <c r="AW14" t="s">
        <v>106</v>
      </c>
      <c r="AX14" t="str">
        <f t="shared" si="4"/>
        <v>YesNo63-90mm</v>
      </c>
      <c r="AY14">
        <v>415</v>
      </c>
      <c r="BB14" t="s">
        <v>17</v>
      </c>
      <c r="BC14" t="s">
        <v>112</v>
      </c>
      <c r="BD14" t="str">
        <f t="shared" si="2"/>
        <v>No4 Way</v>
      </c>
      <c r="BE14">
        <v>2298</v>
      </c>
      <c r="BH14" t="s">
        <v>127</v>
      </c>
      <c r="BI14">
        <v>170</v>
      </c>
      <c r="BL14" t="s">
        <v>139</v>
      </c>
      <c r="BM14" t="s">
        <v>150</v>
      </c>
      <c r="BN14">
        <v>511</v>
      </c>
      <c r="BO14">
        <v>41</v>
      </c>
      <c r="BQ14" t="s">
        <v>161</v>
      </c>
      <c r="BR14" t="s">
        <v>164</v>
      </c>
      <c r="BS14" t="str">
        <f t="shared" si="0"/>
        <v>Cap300mm to &lt;450mm</v>
      </c>
      <c r="BT14">
        <v>4353</v>
      </c>
      <c r="BU14" t="s">
        <v>160</v>
      </c>
      <c r="BV14" t="s">
        <v>5</v>
      </c>
      <c r="BW14" t="s">
        <v>164</v>
      </c>
      <c r="BX14" t="str">
        <f t="shared" si="1"/>
        <v>DisconnectionFootpath300mm to &lt;450mm</v>
      </c>
      <c r="BY14">
        <v>4376</v>
      </c>
      <c r="BZ14">
        <v>279</v>
      </c>
      <c r="CA14">
        <v>180</v>
      </c>
    </row>
    <row r="15" spans="1:79" x14ac:dyDescent="0.35">
      <c r="A15" t="s">
        <v>2</v>
      </c>
      <c r="B15" t="s">
        <v>5</v>
      </c>
      <c r="C15" t="s">
        <v>8</v>
      </c>
      <c r="D15" t="str">
        <f t="shared" si="5"/>
        <v>Yorkshire WaterFootpath63-125mmNo</v>
      </c>
      <c r="E15">
        <v>2983</v>
      </c>
      <c r="I15" t="s">
        <v>23</v>
      </c>
      <c r="J15">
        <v>131</v>
      </c>
      <c r="K15">
        <v>25</v>
      </c>
      <c r="W15" t="s">
        <v>3</v>
      </c>
      <c r="X15" t="s">
        <v>8</v>
      </c>
      <c r="Y15" t="str">
        <f t="shared" si="6"/>
        <v>Customer63-125mm</v>
      </c>
      <c r="Z15">
        <v>493</v>
      </c>
      <c r="AC15" t="s">
        <v>16</v>
      </c>
      <c r="AD15" t="s">
        <v>82</v>
      </c>
      <c r="AE15" t="s">
        <v>83</v>
      </c>
      <c r="AF15" t="str">
        <f t="shared" si="7"/>
        <v>YesSLPNAV Scheme</v>
      </c>
      <c r="AG15">
        <f t="shared" si="8"/>
        <v>688</v>
      </c>
      <c r="AH15" t="s">
        <v>178</v>
      </c>
      <c r="AI15">
        <v>277</v>
      </c>
      <c r="AJ15">
        <v>152</v>
      </c>
      <c r="AK15">
        <f t="shared" si="9"/>
        <v>429</v>
      </c>
      <c r="AL15">
        <v>217</v>
      </c>
      <c r="AM15">
        <v>0</v>
      </c>
      <c r="AN15">
        <v>42</v>
      </c>
      <c r="AU15" t="s">
        <v>16</v>
      </c>
      <c r="AV15" t="s">
        <v>17</v>
      </c>
      <c r="AW15" t="s">
        <v>107</v>
      </c>
      <c r="AX15" t="str">
        <f t="shared" si="4"/>
        <v>YesNo110-125mm</v>
      </c>
      <c r="AY15">
        <v>441</v>
      </c>
      <c r="BB15" t="s">
        <v>17</v>
      </c>
      <c r="BC15" t="s">
        <v>113</v>
      </c>
      <c r="BD15" t="str">
        <f t="shared" si="2"/>
        <v>No5 Way</v>
      </c>
      <c r="BE15">
        <v>2514</v>
      </c>
      <c r="BH15" t="s">
        <v>128</v>
      </c>
      <c r="BI15">
        <v>384</v>
      </c>
      <c r="BL15" t="s">
        <v>141</v>
      </c>
      <c r="BM15" t="s">
        <v>151</v>
      </c>
      <c r="BO15">
        <v>214</v>
      </c>
      <c r="BQ15" t="s">
        <v>161</v>
      </c>
      <c r="BR15" t="s">
        <v>165</v>
      </c>
      <c r="BS15" t="str">
        <f t="shared" si="0"/>
        <v>Cap450mm to &lt;600mm</v>
      </c>
      <c r="BT15">
        <v>6570</v>
      </c>
      <c r="BU15" t="s">
        <v>160</v>
      </c>
      <c r="BV15" t="s">
        <v>5</v>
      </c>
      <c r="BW15" t="s">
        <v>165</v>
      </c>
      <c r="BX15" t="str">
        <f t="shared" si="1"/>
        <v>DisconnectionFootpath450mm to &lt;600mm</v>
      </c>
      <c r="BY15">
        <v>7674</v>
      </c>
      <c r="BZ15">
        <v>279</v>
      </c>
      <c r="CA15">
        <v>180</v>
      </c>
    </row>
    <row r="16" spans="1:79" x14ac:dyDescent="0.35">
      <c r="A16" t="s">
        <v>2</v>
      </c>
      <c r="B16" t="s">
        <v>5</v>
      </c>
      <c r="C16" t="s">
        <v>9</v>
      </c>
      <c r="D16" t="str">
        <f t="shared" si="5"/>
        <v>Yorkshire WaterFootpath160-225mmNo</v>
      </c>
      <c r="E16">
        <v>3953</v>
      </c>
      <c r="I16" t="s">
        <v>24</v>
      </c>
      <c r="J16">
        <v>220</v>
      </c>
      <c r="K16">
        <v>34</v>
      </c>
      <c r="W16" t="s">
        <v>3</v>
      </c>
      <c r="X16" t="s">
        <v>9</v>
      </c>
      <c r="Y16" t="str">
        <f t="shared" si="6"/>
        <v>Customer160-225mm</v>
      </c>
      <c r="Z16">
        <v>1337</v>
      </c>
      <c r="AC16" t="s">
        <v>16</v>
      </c>
      <c r="AD16" t="s">
        <v>82</v>
      </c>
      <c r="AE16" t="s">
        <v>84</v>
      </c>
      <c r="AF16" t="str">
        <f t="shared" si="7"/>
        <v>YesSLP1-100</v>
      </c>
      <c r="AG16">
        <f t="shared" si="8"/>
        <v>717</v>
      </c>
      <c r="AH16" t="s">
        <v>177</v>
      </c>
      <c r="AI16">
        <v>277</v>
      </c>
      <c r="AJ16">
        <v>181</v>
      </c>
      <c r="AK16">
        <f t="shared" si="9"/>
        <v>458</v>
      </c>
      <c r="AL16">
        <v>217</v>
      </c>
      <c r="AM16">
        <v>0</v>
      </c>
      <c r="AN16">
        <v>42</v>
      </c>
      <c r="AU16" t="s">
        <v>17</v>
      </c>
      <c r="AV16" t="s">
        <v>16</v>
      </c>
      <c r="AW16" t="s">
        <v>105</v>
      </c>
      <c r="AX16" t="str">
        <f t="shared" si="4"/>
        <v>NoYes25-32mm</v>
      </c>
      <c r="AY16">
        <v>386</v>
      </c>
      <c r="BB16" t="s">
        <v>17</v>
      </c>
      <c r="BC16" t="s">
        <v>114</v>
      </c>
      <c r="BD16" t="str">
        <f t="shared" si="2"/>
        <v>No6 Way</v>
      </c>
      <c r="BE16">
        <v>2643</v>
      </c>
      <c r="BH16" t="s">
        <v>129</v>
      </c>
      <c r="BI16">
        <v>442</v>
      </c>
      <c r="BL16" t="s">
        <v>142</v>
      </c>
      <c r="BM16" t="s">
        <v>151</v>
      </c>
      <c r="BO16">
        <v>281</v>
      </c>
      <c r="BU16" t="s">
        <v>160</v>
      </c>
      <c r="BV16" t="s">
        <v>6</v>
      </c>
      <c r="BW16" t="s">
        <v>162</v>
      </c>
      <c r="BX16" t="str">
        <f t="shared" si="1"/>
        <v>DisconnectionUnmade GroundUnder 150mm</v>
      </c>
      <c r="BY16">
        <v>2181</v>
      </c>
      <c r="BZ16">
        <v>260</v>
      </c>
      <c r="CA16">
        <v>168</v>
      </c>
    </row>
    <row r="17" spans="1:79" x14ac:dyDescent="0.35">
      <c r="A17" t="s">
        <v>2</v>
      </c>
      <c r="B17" t="s">
        <v>5</v>
      </c>
      <c r="C17" t="s">
        <v>10</v>
      </c>
      <c r="D17" t="str">
        <f t="shared" si="5"/>
        <v>Yorkshire WaterFootpath250-400mmNo</v>
      </c>
      <c r="E17">
        <v>9575</v>
      </c>
      <c r="I17" t="s">
        <v>25</v>
      </c>
      <c r="J17">
        <v>267</v>
      </c>
      <c r="K17">
        <v>54</v>
      </c>
      <c r="W17" t="s">
        <v>3</v>
      </c>
      <c r="X17" t="s">
        <v>10</v>
      </c>
      <c r="Y17" t="str">
        <f t="shared" si="6"/>
        <v>Customer250-400mm</v>
      </c>
      <c r="Z17">
        <v>3406</v>
      </c>
      <c r="AC17" t="s">
        <v>16</v>
      </c>
      <c r="AD17" t="s">
        <v>82</v>
      </c>
      <c r="AE17" t="s">
        <v>85</v>
      </c>
      <c r="AF17" t="str">
        <f t="shared" si="7"/>
        <v>YesSLP101-200</v>
      </c>
      <c r="AG17">
        <f t="shared" si="8"/>
        <v>778</v>
      </c>
      <c r="AH17" t="s">
        <v>176</v>
      </c>
      <c r="AI17">
        <v>277</v>
      </c>
      <c r="AJ17">
        <v>242</v>
      </c>
      <c r="AK17">
        <f t="shared" si="9"/>
        <v>519</v>
      </c>
      <c r="AL17">
        <v>217</v>
      </c>
      <c r="AM17">
        <v>0</v>
      </c>
      <c r="AN17">
        <v>42</v>
      </c>
      <c r="AU17" t="s">
        <v>17</v>
      </c>
      <c r="AV17" t="s">
        <v>16</v>
      </c>
      <c r="AW17" t="s">
        <v>106</v>
      </c>
      <c r="AX17" t="str">
        <f t="shared" si="4"/>
        <v>NoYes63-90mm</v>
      </c>
      <c r="AY17">
        <v>415</v>
      </c>
      <c r="BB17" t="s">
        <v>17</v>
      </c>
      <c r="BC17" t="s">
        <v>115</v>
      </c>
      <c r="BD17" t="str">
        <f t="shared" si="2"/>
        <v>No7 Way</v>
      </c>
      <c r="BE17">
        <v>2911</v>
      </c>
      <c r="BH17" t="s">
        <v>130</v>
      </c>
      <c r="BI17">
        <v>40</v>
      </c>
      <c r="BL17" t="s">
        <v>143</v>
      </c>
      <c r="BM17" t="s">
        <v>151</v>
      </c>
      <c r="BO17">
        <v>529</v>
      </c>
      <c r="BU17" t="s">
        <v>160</v>
      </c>
      <c r="BV17" t="s">
        <v>6</v>
      </c>
      <c r="BW17" t="s">
        <v>163</v>
      </c>
      <c r="BX17" t="str">
        <f t="shared" si="1"/>
        <v>DisconnectionUnmade Ground150mm to &lt;300mm</v>
      </c>
      <c r="BY17">
        <v>2599</v>
      </c>
      <c r="BZ17">
        <v>260</v>
      </c>
      <c r="CA17">
        <v>168</v>
      </c>
    </row>
    <row r="18" spans="1:79" x14ac:dyDescent="0.35">
      <c r="A18" t="s">
        <v>2</v>
      </c>
      <c r="B18" t="s">
        <v>5</v>
      </c>
      <c r="C18" t="s">
        <v>11</v>
      </c>
      <c r="D18" t="str">
        <f t="shared" si="5"/>
        <v>Yorkshire WaterFootpath450-560mmNo</v>
      </c>
      <c r="E18">
        <v>23100</v>
      </c>
      <c r="I18" t="s">
        <v>26</v>
      </c>
      <c r="J18">
        <v>375</v>
      </c>
      <c r="K18">
        <v>81</v>
      </c>
      <c r="W18" t="s">
        <v>3</v>
      </c>
      <c r="X18" t="s">
        <v>11</v>
      </c>
      <c r="Y18" t="str">
        <f t="shared" si="6"/>
        <v>Customer450-560mm</v>
      </c>
      <c r="Z18">
        <v>7473</v>
      </c>
      <c r="AC18" t="s">
        <v>16</v>
      </c>
      <c r="AD18" t="s">
        <v>82</v>
      </c>
      <c r="AE18" t="s">
        <v>86</v>
      </c>
      <c r="AF18" t="str">
        <f t="shared" si="7"/>
        <v>YesSLP201+</v>
      </c>
      <c r="AG18">
        <f t="shared" si="8"/>
        <v>839</v>
      </c>
      <c r="AH18" t="s">
        <v>175</v>
      </c>
      <c r="AI18">
        <v>277</v>
      </c>
      <c r="AJ18">
        <v>303</v>
      </c>
      <c r="AK18">
        <f t="shared" si="9"/>
        <v>580</v>
      </c>
      <c r="AL18">
        <v>217</v>
      </c>
      <c r="AM18">
        <v>0</v>
      </c>
      <c r="AN18">
        <v>42</v>
      </c>
      <c r="AU18" t="s">
        <v>17</v>
      </c>
      <c r="AV18" t="s">
        <v>16</v>
      </c>
      <c r="AW18" t="s">
        <v>107</v>
      </c>
      <c r="AX18" t="str">
        <f t="shared" si="4"/>
        <v>NoYes110-125mm</v>
      </c>
      <c r="AY18">
        <v>444</v>
      </c>
      <c r="BB18" t="s">
        <v>17</v>
      </c>
      <c r="BC18" t="s">
        <v>116</v>
      </c>
      <c r="BD18" t="str">
        <f t="shared" si="2"/>
        <v>No8 Way</v>
      </c>
      <c r="BE18">
        <v>3292</v>
      </c>
      <c r="BL18" t="s">
        <v>144</v>
      </c>
      <c r="BM18" t="s">
        <v>151</v>
      </c>
      <c r="BO18">
        <v>1322</v>
      </c>
      <c r="BU18" t="s">
        <v>160</v>
      </c>
      <c r="BV18" t="s">
        <v>6</v>
      </c>
      <c r="BW18" t="s">
        <v>164</v>
      </c>
      <c r="BX18" t="str">
        <f t="shared" si="1"/>
        <v>DisconnectionUnmade Ground300mm to &lt;450mm</v>
      </c>
      <c r="BY18">
        <v>4172</v>
      </c>
      <c r="BZ18">
        <v>260</v>
      </c>
      <c r="CA18">
        <v>168</v>
      </c>
    </row>
    <row r="19" spans="1:79" x14ac:dyDescent="0.35">
      <c r="A19" t="s">
        <v>2</v>
      </c>
      <c r="B19" t="s">
        <v>6</v>
      </c>
      <c r="C19" t="s">
        <v>8</v>
      </c>
      <c r="D19" t="str">
        <f t="shared" si="5"/>
        <v>Yorkshire WaterUnmade Ground63-125mmNo</v>
      </c>
      <c r="E19">
        <v>2870</v>
      </c>
      <c r="I19" t="s">
        <v>27</v>
      </c>
      <c r="J19">
        <v>87</v>
      </c>
      <c r="K19">
        <v>25</v>
      </c>
      <c r="AC19" t="s">
        <v>17</v>
      </c>
      <c r="AD19" t="s">
        <v>2</v>
      </c>
      <c r="AE19" t="s">
        <v>83</v>
      </c>
      <c r="AF19" t="str">
        <f t="shared" si="7"/>
        <v>NoYorkshire WaterNAV Scheme</v>
      </c>
      <c r="AG19">
        <f t="shared" si="8"/>
        <v>758</v>
      </c>
      <c r="AH19" t="s">
        <v>88</v>
      </c>
      <c r="AI19">
        <v>50</v>
      </c>
      <c r="AJ19">
        <v>445</v>
      </c>
      <c r="AK19">
        <f t="shared" si="9"/>
        <v>495</v>
      </c>
      <c r="AL19">
        <v>217</v>
      </c>
      <c r="AM19">
        <v>46</v>
      </c>
      <c r="AN19">
        <v>0</v>
      </c>
      <c r="AU19" t="s">
        <v>17</v>
      </c>
      <c r="AV19" t="s">
        <v>17</v>
      </c>
      <c r="AW19" t="s">
        <v>105</v>
      </c>
      <c r="AX19" t="str">
        <f t="shared" si="4"/>
        <v>NoNo25-32mm</v>
      </c>
      <c r="AY19">
        <v>360</v>
      </c>
      <c r="BU19" t="s">
        <v>160</v>
      </c>
      <c r="BV19" t="s">
        <v>6</v>
      </c>
      <c r="BW19" t="s">
        <v>165</v>
      </c>
      <c r="BX19" t="str">
        <f t="shared" si="1"/>
        <v>DisconnectionUnmade Ground450mm to &lt;600mm</v>
      </c>
      <c r="BY19">
        <v>7255</v>
      </c>
      <c r="BZ19">
        <v>260</v>
      </c>
      <c r="CA19">
        <v>168</v>
      </c>
    </row>
    <row r="20" spans="1:79" x14ac:dyDescent="0.35">
      <c r="A20" t="s">
        <v>2</v>
      </c>
      <c r="B20" t="s">
        <v>6</v>
      </c>
      <c r="C20" t="s">
        <v>9</v>
      </c>
      <c r="D20" t="str">
        <f t="shared" si="5"/>
        <v>Yorkshire WaterUnmade Ground160-225mmNo</v>
      </c>
      <c r="E20">
        <v>3776</v>
      </c>
      <c r="I20" t="s">
        <v>28</v>
      </c>
      <c r="J20">
        <v>146</v>
      </c>
      <c r="K20">
        <v>34</v>
      </c>
      <c r="AC20" t="s">
        <v>17</v>
      </c>
      <c r="AD20" t="s">
        <v>2</v>
      </c>
      <c r="AE20" t="s">
        <v>84</v>
      </c>
      <c r="AF20" t="str">
        <f t="shared" si="7"/>
        <v>NoYorkshire Water1-100</v>
      </c>
      <c r="AG20">
        <f t="shared" si="8"/>
        <v>1920</v>
      </c>
      <c r="AH20" t="s">
        <v>87</v>
      </c>
      <c r="AI20">
        <v>277</v>
      </c>
      <c r="AJ20">
        <v>1380</v>
      </c>
      <c r="AK20">
        <f t="shared" si="9"/>
        <v>1657</v>
      </c>
      <c r="AL20">
        <v>217</v>
      </c>
      <c r="AM20">
        <v>46</v>
      </c>
      <c r="AN20">
        <v>0</v>
      </c>
      <c r="AU20" t="s">
        <v>17</v>
      </c>
      <c r="AV20" t="s">
        <v>17</v>
      </c>
      <c r="AW20" t="s">
        <v>106</v>
      </c>
      <c r="AX20" t="str">
        <f t="shared" si="4"/>
        <v>NoNo63-90mm</v>
      </c>
      <c r="AY20">
        <v>386</v>
      </c>
      <c r="BU20" t="s">
        <v>161</v>
      </c>
      <c r="BV20" t="s">
        <v>4</v>
      </c>
      <c r="BW20" t="s">
        <v>162</v>
      </c>
      <c r="BX20" t="str">
        <f t="shared" si="1"/>
        <v>CapRoadUnder 150mm</v>
      </c>
      <c r="BY20">
        <v>2528</v>
      </c>
      <c r="BZ20">
        <v>281</v>
      </c>
      <c r="CA20">
        <v>281</v>
      </c>
    </row>
    <row r="21" spans="1:79" x14ac:dyDescent="0.35">
      <c r="A21" t="s">
        <v>2</v>
      </c>
      <c r="B21" t="s">
        <v>6</v>
      </c>
      <c r="C21" t="s">
        <v>10</v>
      </c>
      <c r="D21" t="str">
        <f t="shared" si="5"/>
        <v>Yorkshire WaterUnmade Ground250-400mmNo</v>
      </c>
      <c r="E21">
        <v>9031</v>
      </c>
      <c r="I21" t="s">
        <v>29</v>
      </c>
      <c r="J21">
        <v>177</v>
      </c>
      <c r="K21">
        <v>54</v>
      </c>
      <c r="AC21" t="s">
        <v>17</v>
      </c>
      <c r="AD21" t="s">
        <v>2</v>
      </c>
      <c r="AE21" t="s">
        <v>85</v>
      </c>
      <c r="AF21" t="str">
        <f t="shared" si="7"/>
        <v>NoYorkshire Water101-200</v>
      </c>
      <c r="AG21">
        <f t="shared" si="8"/>
        <v>2280</v>
      </c>
      <c r="AH21" t="s">
        <v>89</v>
      </c>
      <c r="AI21">
        <v>277</v>
      </c>
      <c r="AJ21">
        <v>1740</v>
      </c>
      <c r="AK21">
        <f t="shared" si="9"/>
        <v>2017</v>
      </c>
      <c r="AL21">
        <v>217</v>
      </c>
      <c r="AM21">
        <v>46</v>
      </c>
      <c r="AN21">
        <v>0</v>
      </c>
      <c r="AU21" t="s">
        <v>17</v>
      </c>
      <c r="AV21" t="s">
        <v>17</v>
      </c>
      <c r="AW21" t="s">
        <v>107</v>
      </c>
      <c r="AX21" t="str">
        <f t="shared" si="4"/>
        <v>NoNo110-125mm</v>
      </c>
      <c r="AY21">
        <v>412</v>
      </c>
      <c r="BU21" t="s">
        <v>161</v>
      </c>
      <c r="BV21" t="s">
        <v>4</v>
      </c>
      <c r="BW21" t="s">
        <v>163</v>
      </c>
      <c r="BX21" t="str">
        <f t="shared" si="1"/>
        <v>CapRoad150mm to &lt;300mm</v>
      </c>
      <c r="BY21">
        <v>2995</v>
      </c>
      <c r="BZ21">
        <v>281</v>
      </c>
      <c r="CA21">
        <v>281</v>
      </c>
    </row>
    <row r="22" spans="1:79" x14ac:dyDescent="0.35">
      <c r="A22" t="s">
        <v>2</v>
      </c>
      <c r="B22" t="s">
        <v>6</v>
      </c>
      <c r="C22" t="s">
        <v>11</v>
      </c>
      <c r="D22" t="str">
        <f t="shared" si="5"/>
        <v>Yorkshire WaterUnmade Ground450-560mmNo</v>
      </c>
      <c r="E22">
        <v>21671</v>
      </c>
      <c r="I22" t="s">
        <v>30</v>
      </c>
      <c r="J22">
        <v>249</v>
      </c>
      <c r="K22">
        <v>81</v>
      </c>
      <c r="AC22" t="s">
        <v>17</v>
      </c>
      <c r="AD22" t="s">
        <v>2</v>
      </c>
      <c r="AE22" t="s">
        <v>86</v>
      </c>
      <c r="AF22" t="str">
        <f t="shared" si="7"/>
        <v>NoYorkshire Water201+</v>
      </c>
      <c r="AG22">
        <f t="shared" si="8"/>
        <v>3362</v>
      </c>
      <c r="AH22" t="s">
        <v>90</v>
      </c>
      <c r="AI22">
        <v>277</v>
      </c>
      <c r="AJ22">
        <v>2822</v>
      </c>
      <c r="AK22">
        <f t="shared" si="9"/>
        <v>3099</v>
      </c>
      <c r="AL22">
        <v>217</v>
      </c>
      <c r="AM22">
        <v>46</v>
      </c>
      <c r="AN22">
        <v>0</v>
      </c>
      <c r="BU22" t="s">
        <v>161</v>
      </c>
      <c r="BV22" t="s">
        <v>4</v>
      </c>
      <c r="BW22" t="s">
        <v>164</v>
      </c>
      <c r="BX22" t="str">
        <f t="shared" si="1"/>
        <v>CapRoad300mm to &lt;450mm</v>
      </c>
      <c r="BY22">
        <v>5164</v>
      </c>
      <c r="BZ22">
        <v>281</v>
      </c>
      <c r="CA22">
        <v>281</v>
      </c>
    </row>
    <row r="23" spans="1:79" x14ac:dyDescent="0.35">
      <c r="A23" t="s">
        <v>3</v>
      </c>
      <c r="B23" t="s">
        <v>4</v>
      </c>
      <c r="C23" t="s">
        <v>8</v>
      </c>
      <c r="D23" t="str">
        <f t="shared" si="5"/>
        <v>CustomerRoad63-125mmNo</v>
      </c>
      <c r="E23">
        <v>2681</v>
      </c>
      <c r="I23" t="s">
        <v>31</v>
      </c>
      <c r="J23">
        <v>28</v>
      </c>
      <c r="K23">
        <v>25</v>
      </c>
      <c r="AC23" t="s">
        <v>17</v>
      </c>
      <c r="AD23" t="s">
        <v>82</v>
      </c>
      <c r="AE23" t="s">
        <v>83</v>
      </c>
      <c r="AF23" t="str">
        <f t="shared" si="7"/>
        <v>NoSLPNAV Scheme</v>
      </c>
      <c r="AG23" t="s">
        <v>103</v>
      </c>
      <c r="AK23" t="s">
        <v>103</v>
      </c>
      <c r="AM23" t="s">
        <v>103</v>
      </c>
      <c r="AN23" t="s">
        <v>103</v>
      </c>
      <c r="BU23" t="s">
        <v>161</v>
      </c>
      <c r="BV23" t="s">
        <v>4</v>
      </c>
      <c r="BW23" t="s">
        <v>165</v>
      </c>
      <c r="BX23" t="str">
        <f t="shared" si="1"/>
        <v>CapRoad450mm to &lt;600mm</v>
      </c>
      <c r="BY23">
        <v>8946</v>
      </c>
      <c r="BZ23">
        <v>281</v>
      </c>
      <c r="CA23">
        <v>281</v>
      </c>
    </row>
    <row r="24" spans="1:79" x14ac:dyDescent="0.35">
      <c r="A24" t="s">
        <v>3</v>
      </c>
      <c r="B24" t="s">
        <v>4</v>
      </c>
      <c r="C24" t="s">
        <v>9</v>
      </c>
      <c r="D24" t="str">
        <f t="shared" si="5"/>
        <v>CustomerRoad160-225mmNo</v>
      </c>
      <c r="E24">
        <v>3444</v>
      </c>
      <c r="I24" t="s">
        <v>32</v>
      </c>
      <c r="J24">
        <v>68</v>
      </c>
      <c r="K24">
        <v>34</v>
      </c>
      <c r="AC24" t="s">
        <v>17</v>
      </c>
      <c r="AD24" t="s">
        <v>82</v>
      </c>
      <c r="AE24" t="s">
        <v>84</v>
      </c>
      <c r="AF24" t="str">
        <f t="shared" si="7"/>
        <v>NoSLP1-100</v>
      </c>
      <c r="AG24" t="s">
        <v>103</v>
      </c>
      <c r="AK24" t="s">
        <v>103</v>
      </c>
      <c r="AM24" t="s">
        <v>103</v>
      </c>
      <c r="AN24" t="s">
        <v>103</v>
      </c>
      <c r="BU24" t="s">
        <v>161</v>
      </c>
      <c r="BV24" t="s">
        <v>5</v>
      </c>
      <c r="BW24" t="s">
        <v>162</v>
      </c>
      <c r="BX24" t="str">
        <f t="shared" si="1"/>
        <v>CapFootpathUnder 150mm</v>
      </c>
      <c r="BY24">
        <v>2518</v>
      </c>
      <c r="BZ24">
        <v>279</v>
      </c>
      <c r="CA24">
        <v>279</v>
      </c>
    </row>
    <row r="25" spans="1:79" x14ac:dyDescent="0.35">
      <c r="A25" t="s">
        <v>3</v>
      </c>
      <c r="B25" t="s">
        <v>4</v>
      </c>
      <c r="C25" t="s">
        <v>10</v>
      </c>
      <c r="D25" t="str">
        <f t="shared" si="5"/>
        <v>CustomerRoad250-400mmNo</v>
      </c>
      <c r="E25">
        <v>8999</v>
      </c>
      <c r="I25" t="s">
        <v>33</v>
      </c>
      <c r="J25">
        <v>164</v>
      </c>
      <c r="K25">
        <v>54</v>
      </c>
      <c r="AC25" t="s">
        <v>17</v>
      </c>
      <c r="AD25" t="s">
        <v>82</v>
      </c>
      <c r="AE25" t="s">
        <v>85</v>
      </c>
      <c r="AF25" t="str">
        <f t="shared" si="7"/>
        <v>NoSLP101-200</v>
      </c>
      <c r="AG25" t="s">
        <v>103</v>
      </c>
      <c r="AK25" t="s">
        <v>103</v>
      </c>
      <c r="AM25" t="s">
        <v>103</v>
      </c>
      <c r="AN25" t="s">
        <v>103</v>
      </c>
      <c r="BU25" t="s">
        <v>161</v>
      </c>
      <c r="BV25" t="s">
        <v>5</v>
      </c>
      <c r="BW25" t="s">
        <v>163</v>
      </c>
      <c r="BX25" t="str">
        <f t="shared" si="1"/>
        <v>CapFootpath150mm to &lt;300mm</v>
      </c>
      <c r="BY25">
        <v>2981</v>
      </c>
      <c r="BZ25">
        <v>279</v>
      </c>
      <c r="CA25">
        <v>279</v>
      </c>
    </row>
    <row r="26" spans="1:79" x14ac:dyDescent="0.35">
      <c r="A26" t="s">
        <v>3</v>
      </c>
      <c r="B26" t="s">
        <v>4</v>
      </c>
      <c r="C26" t="s">
        <v>11</v>
      </c>
      <c r="D26" t="str">
        <f t="shared" si="5"/>
        <v>CustomerRoad450-560mmNo</v>
      </c>
      <c r="E26">
        <v>21017</v>
      </c>
      <c r="I26" t="s">
        <v>34</v>
      </c>
      <c r="J26">
        <v>236</v>
      </c>
      <c r="K26">
        <v>81</v>
      </c>
      <c r="AC26" t="s">
        <v>17</v>
      </c>
      <c r="AD26" t="s">
        <v>82</v>
      </c>
      <c r="AE26" t="s">
        <v>86</v>
      </c>
      <c r="AF26" t="str">
        <f t="shared" si="7"/>
        <v>NoSLP201+</v>
      </c>
      <c r="AG26" t="s">
        <v>103</v>
      </c>
      <c r="AK26" t="s">
        <v>103</v>
      </c>
      <c r="AM26" t="s">
        <v>103</v>
      </c>
      <c r="AN26" t="s">
        <v>103</v>
      </c>
      <c r="BU26" t="s">
        <v>161</v>
      </c>
      <c r="BV26" t="s">
        <v>5</v>
      </c>
      <c r="BW26" t="s">
        <v>164</v>
      </c>
      <c r="BX26" t="str">
        <f t="shared" si="1"/>
        <v>CapFootpath300mm to &lt;450mm</v>
      </c>
      <c r="BY26">
        <v>5132</v>
      </c>
      <c r="BZ26">
        <v>279</v>
      </c>
      <c r="CA26">
        <v>279</v>
      </c>
    </row>
    <row r="27" spans="1:79" x14ac:dyDescent="0.35">
      <c r="A27" t="s">
        <v>3</v>
      </c>
      <c r="B27" t="s">
        <v>5</v>
      </c>
      <c r="C27" t="s">
        <v>8</v>
      </c>
      <c r="D27" t="str">
        <f t="shared" si="5"/>
        <v>CustomerFootpath63-125mmNo</v>
      </c>
      <c r="E27">
        <v>2681</v>
      </c>
      <c r="I27" t="s">
        <v>35</v>
      </c>
      <c r="J27">
        <v>28</v>
      </c>
      <c r="K27">
        <v>25</v>
      </c>
      <c r="BU27" t="s">
        <v>161</v>
      </c>
      <c r="BV27" t="s">
        <v>5</v>
      </c>
      <c r="BW27" t="s">
        <v>165</v>
      </c>
      <c r="BX27" t="str">
        <f t="shared" si="1"/>
        <v>CapFootpath450mm to &lt;600mm</v>
      </c>
      <c r="BY27">
        <v>8884</v>
      </c>
      <c r="BZ27">
        <v>279</v>
      </c>
      <c r="CA27">
        <v>279</v>
      </c>
    </row>
    <row r="28" spans="1:79" x14ac:dyDescent="0.35">
      <c r="A28" t="s">
        <v>3</v>
      </c>
      <c r="B28" t="s">
        <v>5</v>
      </c>
      <c r="C28" t="s">
        <v>9</v>
      </c>
      <c r="D28" t="str">
        <f t="shared" si="5"/>
        <v>CustomerFootpath160-225mmNo</v>
      </c>
      <c r="E28">
        <v>3444</v>
      </c>
      <c r="I28" t="s">
        <v>36</v>
      </c>
      <c r="J28">
        <v>68</v>
      </c>
      <c r="K28">
        <v>34</v>
      </c>
      <c r="BU28" t="s">
        <v>161</v>
      </c>
      <c r="BV28" t="s">
        <v>6</v>
      </c>
      <c r="BW28" t="s">
        <v>162</v>
      </c>
      <c r="BX28" t="str">
        <f t="shared" si="1"/>
        <v>CapUnmade GroundUnder 150mm</v>
      </c>
      <c r="BY28">
        <v>2436</v>
      </c>
      <c r="BZ28">
        <v>260</v>
      </c>
      <c r="CA28">
        <v>260</v>
      </c>
    </row>
    <row r="29" spans="1:79" x14ac:dyDescent="0.35">
      <c r="A29" t="s">
        <v>3</v>
      </c>
      <c r="B29" t="s">
        <v>5</v>
      </c>
      <c r="C29" t="s">
        <v>10</v>
      </c>
      <c r="D29" t="str">
        <f t="shared" si="5"/>
        <v>CustomerFootpath250-400mmNo</v>
      </c>
      <c r="E29">
        <v>8999</v>
      </c>
      <c r="I29" t="s">
        <v>37</v>
      </c>
      <c r="J29">
        <v>164</v>
      </c>
      <c r="K29">
        <v>54</v>
      </c>
      <c r="BU29" t="s">
        <v>161</v>
      </c>
      <c r="BV29" t="s">
        <v>6</v>
      </c>
      <c r="BW29" t="s">
        <v>163</v>
      </c>
      <c r="BX29" t="str">
        <f t="shared" si="1"/>
        <v>CapUnmade Ground150mm to &lt;300mm</v>
      </c>
      <c r="BY29">
        <v>2869</v>
      </c>
      <c r="BZ29">
        <v>260</v>
      </c>
      <c r="CA29">
        <v>260</v>
      </c>
    </row>
    <row r="30" spans="1:79" x14ac:dyDescent="0.35">
      <c r="A30" t="s">
        <v>3</v>
      </c>
      <c r="B30" t="s">
        <v>5</v>
      </c>
      <c r="C30" t="s">
        <v>11</v>
      </c>
      <c r="D30" t="str">
        <f t="shared" si="5"/>
        <v>CustomerFootpath450-560mmNo</v>
      </c>
      <c r="E30">
        <v>21017</v>
      </c>
      <c r="I30" t="s">
        <v>38</v>
      </c>
      <c r="J30">
        <v>236</v>
      </c>
      <c r="K30">
        <v>81</v>
      </c>
      <c r="BU30" t="s">
        <v>161</v>
      </c>
      <c r="BV30" t="s">
        <v>6</v>
      </c>
      <c r="BW30" t="s">
        <v>164</v>
      </c>
      <c r="BX30" t="str">
        <f t="shared" si="1"/>
        <v>CapUnmade Ground300mm to &lt;450mm</v>
      </c>
      <c r="BY30">
        <v>4879</v>
      </c>
      <c r="BZ30">
        <v>260</v>
      </c>
      <c r="CA30">
        <v>260</v>
      </c>
    </row>
    <row r="31" spans="1:79" x14ac:dyDescent="0.35">
      <c r="A31" t="s">
        <v>3</v>
      </c>
      <c r="B31" t="s">
        <v>6</v>
      </c>
      <c r="C31" t="s">
        <v>8</v>
      </c>
      <c r="D31" t="str">
        <f t="shared" si="5"/>
        <v>CustomerUnmade Ground63-125mmNo</v>
      </c>
      <c r="E31">
        <v>2681</v>
      </c>
      <c r="I31" t="s">
        <v>39</v>
      </c>
      <c r="J31">
        <v>28</v>
      </c>
      <c r="K31">
        <v>25</v>
      </c>
      <c r="BU31" t="s">
        <v>161</v>
      </c>
      <c r="BV31" t="s">
        <v>6</v>
      </c>
      <c r="BW31" t="s">
        <v>165</v>
      </c>
      <c r="BX31" t="str">
        <f t="shared" si="1"/>
        <v>CapUnmade Ground450mm to &lt;600mm</v>
      </c>
      <c r="BY31">
        <v>8385</v>
      </c>
      <c r="BZ31">
        <v>260</v>
      </c>
      <c r="CA31">
        <v>260</v>
      </c>
    </row>
    <row r="32" spans="1:79" x14ac:dyDescent="0.35">
      <c r="A32" t="s">
        <v>3</v>
      </c>
      <c r="B32" t="s">
        <v>6</v>
      </c>
      <c r="C32" t="s">
        <v>9</v>
      </c>
      <c r="D32" t="str">
        <f t="shared" si="5"/>
        <v>CustomerUnmade Ground160-225mmNo</v>
      </c>
      <c r="E32">
        <v>3444</v>
      </c>
      <c r="I32" t="s">
        <v>40</v>
      </c>
      <c r="J32">
        <v>68</v>
      </c>
      <c r="K32">
        <v>34</v>
      </c>
    </row>
    <row r="33" spans="1:11" x14ac:dyDescent="0.35">
      <c r="A33" t="s">
        <v>3</v>
      </c>
      <c r="B33" t="s">
        <v>6</v>
      </c>
      <c r="C33" t="s">
        <v>10</v>
      </c>
      <c r="D33" t="str">
        <f t="shared" si="5"/>
        <v>CustomerUnmade Ground250-400mmNo</v>
      </c>
      <c r="E33">
        <v>8999</v>
      </c>
      <c r="I33" t="s">
        <v>41</v>
      </c>
      <c r="J33">
        <v>164</v>
      </c>
      <c r="K33">
        <v>54</v>
      </c>
    </row>
    <row r="34" spans="1:11" x14ac:dyDescent="0.35">
      <c r="A34" t="s">
        <v>3</v>
      </c>
      <c r="B34" t="s">
        <v>6</v>
      </c>
      <c r="C34" t="s">
        <v>11</v>
      </c>
      <c r="D34" t="str">
        <f t="shared" si="5"/>
        <v>CustomerUnmade Ground450-560mmNo</v>
      </c>
      <c r="E34">
        <v>21017</v>
      </c>
      <c r="I34" t="s">
        <v>42</v>
      </c>
      <c r="J34">
        <v>236</v>
      </c>
      <c r="K34">
        <v>81</v>
      </c>
    </row>
    <row r="35" spans="1:11" x14ac:dyDescent="0.35">
      <c r="A35" t="s">
        <v>2</v>
      </c>
      <c r="B35" t="s">
        <v>4</v>
      </c>
      <c r="C35" t="s">
        <v>8</v>
      </c>
      <c r="D35" t="str">
        <f>A35&amp;B35&amp;C35&amp;"Yes"</f>
        <v>Yorkshire WaterRoad63-125mmYes</v>
      </c>
      <c r="E35">
        <f>E11+50</f>
        <v>3047</v>
      </c>
      <c r="I35" t="s">
        <v>43</v>
      </c>
      <c r="J35">
        <v>158</v>
      </c>
      <c r="K35">
        <v>0</v>
      </c>
    </row>
    <row r="36" spans="1:11" x14ac:dyDescent="0.35">
      <c r="A36" t="s">
        <v>2</v>
      </c>
      <c r="B36" t="s">
        <v>4</v>
      </c>
      <c r="C36" t="s">
        <v>9</v>
      </c>
      <c r="D36" t="str">
        <f t="shared" ref="D36:D58" si="10">A36&amp;B36&amp;C36&amp;"Yes"</f>
        <v>Yorkshire WaterRoad160-225mmYes</v>
      </c>
      <c r="E36">
        <f>E12+68</f>
        <v>4043</v>
      </c>
      <c r="I36" t="s">
        <v>44</v>
      </c>
      <c r="J36">
        <v>265</v>
      </c>
      <c r="K36">
        <v>0</v>
      </c>
    </row>
    <row r="37" spans="1:11" x14ac:dyDescent="0.35">
      <c r="A37" t="s">
        <v>2</v>
      </c>
      <c r="B37" t="s">
        <v>4</v>
      </c>
      <c r="C37" t="s">
        <v>10</v>
      </c>
      <c r="D37" t="str">
        <f t="shared" si="10"/>
        <v>Yorkshire WaterRoad250-400mmYes</v>
      </c>
      <c r="E37">
        <f>E13+108</f>
        <v>9751</v>
      </c>
      <c r="I37" t="s">
        <v>45</v>
      </c>
      <c r="J37">
        <v>322</v>
      </c>
      <c r="K37">
        <v>0</v>
      </c>
    </row>
    <row r="38" spans="1:11" x14ac:dyDescent="0.35">
      <c r="A38" t="s">
        <v>2</v>
      </c>
      <c r="B38" t="s">
        <v>4</v>
      </c>
      <c r="C38" t="s">
        <v>11</v>
      </c>
      <c r="D38" t="str">
        <f t="shared" si="10"/>
        <v>Yorkshire WaterRoad450-560mmYes</v>
      </c>
      <c r="E38">
        <f>E14+162</f>
        <v>23440</v>
      </c>
      <c r="I38" t="s">
        <v>46</v>
      </c>
      <c r="J38">
        <v>452</v>
      </c>
      <c r="K38">
        <v>0</v>
      </c>
    </row>
    <row r="39" spans="1:11" x14ac:dyDescent="0.35">
      <c r="A39" t="s">
        <v>2</v>
      </c>
      <c r="B39" t="s">
        <v>5</v>
      </c>
      <c r="C39" t="s">
        <v>8</v>
      </c>
      <c r="D39" t="str">
        <f t="shared" si="10"/>
        <v>Yorkshire WaterFootpath63-125mmYes</v>
      </c>
      <c r="E39">
        <f>E15+50</f>
        <v>3033</v>
      </c>
      <c r="I39" t="s">
        <v>47</v>
      </c>
      <c r="J39">
        <v>131</v>
      </c>
      <c r="K39">
        <v>0</v>
      </c>
    </row>
    <row r="40" spans="1:11" x14ac:dyDescent="0.35">
      <c r="A40" t="s">
        <v>2</v>
      </c>
      <c r="B40" t="s">
        <v>5</v>
      </c>
      <c r="C40" t="s">
        <v>9</v>
      </c>
      <c r="D40" t="str">
        <f t="shared" si="10"/>
        <v>Yorkshire WaterFootpath160-225mmYes</v>
      </c>
      <c r="E40">
        <f>E16+68</f>
        <v>4021</v>
      </c>
      <c r="I40" t="s">
        <v>48</v>
      </c>
      <c r="J40">
        <v>220</v>
      </c>
      <c r="K40">
        <v>0</v>
      </c>
    </row>
    <row r="41" spans="1:11" x14ac:dyDescent="0.35">
      <c r="A41" t="s">
        <v>2</v>
      </c>
      <c r="B41" t="s">
        <v>5</v>
      </c>
      <c r="C41" t="s">
        <v>10</v>
      </c>
      <c r="D41" t="str">
        <f t="shared" si="10"/>
        <v>Yorkshire WaterFootpath250-400mmYes</v>
      </c>
      <c r="E41">
        <f>E17+108</f>
        <v>9683</v>
      </c>
      <c r="I41" t="s">
        <v>49</v>
      </c>
      <c r="J41">
        <v>267</v>
      </c>
      <c r="K41">
        <v>0</v>
      </c>
    </row>
    <row r="42" spans="1:11" x14ac:dyDescent="0.35">
      <c r="A42" t="s">
        <v>2</v>
      </c>
      <c r="B42" t="s">
        <v>5</v>
      </c>
      <c r="C42" t="s">
        <v>11</v>
      </c>
      <c r="D42" t="str">
        <f t="shared" si="10"/>
        <v>Yorkshire WaterFootpath450-560mmYes</v>
      </c>
      <c r="E42">
        <f>E18+162</f>
        <v>23262</v>
      </c>
      <c r="I42" t="s">
        <v>50</v>
      </c>
      <c r="J42">
        <v>375</v>
      </c>
      <c r="K42">
        <v>0</v>
      </c>
    </row>
    <row r="43" spans="1:11" x14ac:dyDescent="0.35">
      <c r="A43" t="s">
        <v>2</v>
      </c>
      <c r="B43" t="s">
        <v>6</v>
      </c>
      <c r="C43" t="s">
        <v>8</v>
      </c>
      <c r="D43" t="str">
        <f t="shared" si="10"/>
        <v>Yorkshire WaterUnmade Ground63-125mmYes</v>
      </c>
      <c r="E43">
        <f>E19+50</f>
        <v>2920</v>
      </c>
      <c r="I43" t="s">
        <v>51</v>
      </c>
      <c r="J43">
        <v>87</v>
      </c>
      <c r="K43">
        <v>0</v>
      </c>
    </row>
    <row r="44" spans="1:11" x14ac:dyDescent="0.35">
      <c r="A44" t="s">
        <v>2</v>
      </c>
      <c r="B44" t="s">
        <v>6</v>
      </c>
      <c r="C44" t="s">
        <v>9</v>
      </c>
      <c r="D44" t="str">
        <f t="shared" si="10"/>
        <v>Yorkshire WaterUnmade Ground160-225mmYes</v>
      </c>
      <c r="E44">
        <f>E20+68</f>
        <v>3844</v>
      </c>
      <c r="I44" t="s">
        <v>52</v>
      </c>
      <c r="J44">
        <v>146</v>
      </c>
      <c r="K44">
        <v>0</v>
      </c>
    </row>
    <row r="45" spans="1:11" x14ac:dyDescent="0.35">
      <c r="A45" t="s">
        <v>2</v>
      </c>
      <c r="B45" t="s">
        <v>6</v>
      </c>
      <c r="C45" t="s">
        <v>10</v>
      </c>
      <c r="D45" t="str">
        <f t="shared" si="10"/>
        <v>Yorkshire WaterUnmade Ground250-400mmYes</v>
      </c>
      <c r="E45">
        <f>E21+108</f>
        <v>9139</v>
      </c>
      <c r="I45" t="s">
        <v>53</v>
      </c>
      <c r="J45">
        <v>177</v>
      </c>
      <c r="K45">
        <v>0</v>
      </c>
    </row>
    <row r="46" spans="1:11" x14ac:dyDescent="0.35">
      <c r="A46" t="s">
        <v>2</v>
      </c>
      <c r="B46" t="s">
        <v>6</v>
      </c>
      <c r="C46" t="s">
        <v>11</v>
      </c>
      <c r="D46" t="str">
        <f t="shared" si="10"/>
        <v>Yorkshire WaterUnmade Ground450-560mmYes</v>
      </c>
      <c r="E46">
        <f>E22+162</f>
        <v>21833</v>
      </c>
      <c r="I46" t="s">
        <v>54</v>
      </c>
      <c r="J46">
        <v>249</v>
      </c>
      <c r="K46">
        <v>0</v>
      </c>
    </row>
    <row r="47" spans="1:11" x14ac:dyDescent="0.35">
      <c r="A47" t="s">
        <v>3</v>
      </c>
      <c r="B47" t="s">
        <v>4</v>
      </c>
      <c r="C47" t="s">
        <v>8</v>
      </c>
      <c r="D47" t="str">
        <f t="shared" si="10"/>
        <v>CustomerRoad63-125mmYes</v>
      </c>
      <c r="E47">
        <f>E23+50</f>
        <v>2731</v>
      </c>
      <c r="I47" t="s">
        <v>55</v>
      </c>
      <c r="J47">
        <v>28</v>
      </c>
      <c r="K47">
        <v>0</v>
      </c>
    </row>
    <row r="48" spans="1:11" x14ac:dyDescent="0.35">
      <c r="A48" t="s">
        <v>3</v>
      </c>
      <c r="B48" t="s">
        <v>4</v>
      </c>
      <c r="C48" t="s">
        <v>9</v>
      </c>
      <c r="D48" t="str">
        <f t="shared" si="10"/>
        <v>CustomerRoad160-225mmYes</v>
      </c>
      <c r="E48">
        <f>E24+68</f>
        <v>3512</v>
      </c>
      <c r="I48" t="s">
        <v>56</v>
      </c>
      <c r="J48">
        <v>68</v>
      </c>
      <c r="K48">
        <v>0</v>
      </c>
    </row>
    <row r="49" spans="1:11" x14ac:dyDescent="0.35">
      <c r="A49" t="s">
        <v>3</v>
      </c>
      <c r="B49" t="s">
        <v>4</v>
      </c>
      <c r="C49" t="s">
        <v>10</v>
      </c>
      <c r="D49" t="str">
        <f t="shared" si="10"/>
        <v>CustomerRoad250-400mmYes</v>
      </c>
      <c r="E49">
        <f>E25+108</f>
        <v>9107</v>
      </c>
      <c r="I49" t="s">
        <v>57</v>
      </c>
      <c r="J49">
        <v>164</v>
      </c>
      <c r="K49">
        <v>0</v>
      </c>
    </row>
    <row r="50" spans="1:11" x14ac:dyDescent="0.35">
      <c r="A50" t="s">
        <v>3</v>
      </c>
      <c r="B50" t="s">
        <v>4</v>
      </c>
      <c r="C50" t="s">
        <v>11</v>
      </c>
      <c r="D50" t="str">
        <f t="shared" si="10"/>
        <v>CustomerRoad450-560mmYes</v>
      </c>
      <c r="E50">
        <f>E26+162</f>
        <v>21179</v>
      </c>
      <c r="I50" t="s">
        <v>58</v>
      </c>
      <c r="J50">
        <v>236</v>
      </c>
      <c r="K50">
        <v>0</v>
      </c>
    </row>
    <row r="51" spans="1:11" x14ac:dyDescent="0.35">
      <c r="A51" t="s">
        <v>3</v>
      </c>
      <c r="B51" t="s">
        <v>5</v>
      </c>
      <c r="C51" t="s">
        <v>8</v>
      </c>
      <c r="D51" t="str">
        <f t="shared" si="10"/>
        <v>CustomerFootpath63-125mmYes</v>
      </c>
      <c r="E51">
        <f>E27+50</f>
        <v>2731</v>
      </c>
      <c r="I51" t="s">
        <v>59</v>
      </c>
      <c r="J51">
        <v>28</v>
      </c>
      <c r="K51">
        <v>0</v>
      </c>
    </row>
    <row r="52" spans="1:11" x14ac:dyDescent="0.35">
      <c r="A52" t="s">
        <v>3</v>
      </c>
      <c r="B52" t="s">
        <v>5</v>
      </c>
      <c r="C52" t="s">
        <v>9</v>
      </c>
      <c r="D52" t="str">
        <f t="shared" si="10"/>
        <v>CustomerFootpath160-225mmYes</v>
      </c>
      <c r="E52">
        <f>E28+68</f>
        <v>3512</v>
      </c>
      <c r="I52" t="s">
        <v>60</v>
      </c>
      <c r="J52">
        <v>68</v>
      </c>
      <c r="K52">
        <v>0</v>
      </c>
    </row>
    <row r="53" spans="1:11" x14ac:dyDescent="0.35">
      <c r="A53" t="s">
        <v>3</v>
      </c>
      <c r="B53" t="s">
        <v>5</v>
      </c>
      <c r="C53" t="s">
        <v>10</v>
      </c>
      <c r="D53" t="str">
        <f t="shared" si="10"/>
        <v>CustomerFootpath250-400mmYes</v>
      </c>
      <c r="E53">
        <f>E29+108</f>
        <v>9107</v>
      </c>
      <c r="I53" t="s">
        <v>61</v>
      </c>
      <c r="J53">
        <v>164</v>
      </c>
      <c r="K53">
        <v>0</v>
      </c>
    </row>
    <row r="54" spans="1:11" x14ac:dyDescent="0.35">
      <c r="A54" t="s">
        <v>3</v>
      </c>
      <c r="B54" t="s">
        <v>5</v>
      </c>
      <c r="C54" t="s">
        <v>11</v>
      </c>
      <c r="D54" t="str">
        <f t="shared" si="10"/>
        <v>CustomerFootpath450-560mmYes</v>
      </c>
      <c r="E54">
        <f>E30+162</f>
        <v>21179</v>
      </c>
      <c r="I54" t="s">
        <v>62</v>
      </c>
      <c r="J54">
        <v>236</v>
      </c>
      <c r="K54">
        <v>0</v>
      </c>
    </row>
    <row r="55" spans="1:11" x14ac:dyDescent="0.35">
      <c r="A55" t="s">
        <v>3</v>
      </c>
      <c r="B55" t="s">
        <v>6</v>
      </c>
      <c r="C55" t="s">
        <v>8</v>
      </c>
      <c r="D55" t="str">
        <f t="shared" si="10"/>
        <v>CustomerUnmade Ground63-125mmYes</v>
      </c>
      <c r="E55">
        <f>E31+50</f>
        <v>2731</v>
      </c>
      <c r="I55" t="s">
        <v>63</v>
      </c>
      <c r="J55">
        <v>28</v>
      </c>
      <c r="K55">
        <v>0</v>
      </c>
    </row>
    <row r="56" spans="1:11" x14ac:dyDescent="0.35">
      <c r="A56" t="s">
        <v>3</v>
      </c>
      <c r="B56" t="s">
        <v>6</v>
      </c>
      <c r="C56" t="s">
        <v>9</v>
      </c>
      <c r="D56" t="str">
        <f t="shared" si="10"/>
        <v>CustomerUnmade Ground160-225mmYes</v>
      </c>
      <c r="E56">
        <f>E32+68</f>
        <v>3512</v>
      </c>
      <c r="I56" t="s">
        <v>64</v>
      </c>
      <c r="J56">
        <v>68</v>
      </c>
      <c r="K56">
        <v>0</v>
      </c>
    </row>
    <row r="57" spans="1:11" x14ac:dyDescent="0.35">
      <c r="A57" t="s">
        <v>3</v>
      </c>
      <c r="B57" t="s">
        <v>6</v>
      </c>
      <c r="C57" t="s">
        <v>10</v>
      </c>
      <c r="D57" t="str">
        <f t="shared" si="10"/>
        <v>CustomerUnmade Ground250-400mmYes</v>
      </c>
      <c r="E57">
        <f>E33+108</f>
        <v>9107</v>
      </c>
      <c r="I57" t="s">
        <v>65</v>
      </c>
      <c r="J57">
        <v>164</v>
      </c>
      <c r="K57">
        <v>0</v>
      </c>
    </row>
    <row r="58" spans="1:11" x14ac:dyDescent="0.35">
      <c r="A58" t="s">
        <v>3</v>
      </c>
      <c r="B58" t="s">
        <v>6</v>
      </c>
      <c r="C58" t="s">
        <v>11</v>
      </c>
      <c r="D58" t="str">
        <f t="shared" si="10"/>
        <v>CustomerUnmade Ground450-560mmYes</v>
      </c>
      <c r="E58">
        <f>E34+162</f>
        <v>21179</v>
      </c>
      <c r="I58" t="s">
        <v>66</v>
      </c>
      <c r="J58">
        <v>236</v>
      </c>
      <c r="K58">
        <v>0</v>
      </c>
    </row>
  </sheetData>
  <mergeCells count="11">
    <mergeCell ref="BH6:BI6"/>
    <mergeCell ref="BL5:BO5"/>
    <mergeCell ref="BQ6:BT6"/>
    <mergeCell ref="AC9:AN9"/>
    <mergeCell ref="AU8:AY8"/>
    <mergeCell ref="BB7:BE7"/>
    <mergeCell ref="A10:E10"/>
    <mergeCell ref="I10:K10"/>
    <mergeCell ref="O10:P10"/>
    <mergeCell ref="S10:T10"/>
    <mergeCell ref="W10:Z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C7543-53FC-4A84-9879-1B7C209B26DB}">
  <sheetPr codeName="Sheet3">
    <tabColor theme="9"/>
  </sheetPr>
  <dimension ref="A1:AB35"/>
  <sheetViews>
    <sheetView showGridLines="0" showRowColHeaders="0" workbookViewId="0">
      <selection activeCell="N34" sqref="N34"/>
    </sheetView>
  </sheetViews>
  <sheetFormatPr defaultColWidth="0" defaultRowHeight="14.5" zeroHeight="1" x14ac:dyDescent="0.35"/>
  <cols>
    <col min="1" max="1" width="3.453125" style="10" customWidth="1"/>
    <col min="2" max="6" width="9.1796875" style="10" customWidth="1"/>
    <col min="7" max="7" width="9.453125" style="10" bestFit="1" customWidth="1"/>
    <col min="8" max="15" width="9.1796875" style="10" customWidth="1"/>
    <col min="16" max="28" width="0" style="10" hidden="1" customWidth="1"/>
    <col min="29" max="16384" width="9.1796875" style="10" hidden="1"/>
  </cols>
  <sheetData>
    <row r="1" spans="2:28" ht="15" thickBot="1" x14ac:dyDescent="0.4"/>
    <row r="2" spans="2:28" ht="30" customHeight="1" thickTop="1" x14ac:dyDescent="1.85">
      <c r="B2" s="118" t="s">
        <v>205</v>
      </c>
      <c r="C2" s="119"/>
      <c r="D2" s="119"/>
      <c r="E2" s="119"/>
      <c r="F2" s="119"/>
      <c r="G2" s="119"/>
      <c r="H2" s="119"/>
      <c r="I2" s="119"/>
      <c r="J2" s="119"/>
      <c r="K2" s="119"/>
      <c r="L2" s="119"/>
      <c r="M2" s="119"/>
      <c r="N2" s="120"/>
      <c r="O2" s="57"/>
      <c r="P2" s="57"/>
      <c r="Q2" s="57"/>
      <c r="R2" s="57"/>
      <c r="S2" s="57"/>
      <c r="T2" s="57"/>
      <c r="U2" s="57"/>
      <c r="V2" s="57"/>
      <c r="W2" s="57"/>
      <c r="X2" s="57"/>
      <c r="Y2" s="57"/>
      <c r="Z2" s="57"/>
      <c r="AA2" s="57"/>
      <c r="AB2" s="57"/>
    </row>
    <row r="3" spans="2:28" ht="30" customHeight="1" x14ac:dyDescent="1.85">
      <c r="B3" s="121"/>
      <c r="C3" s="122"/>
      <c r="D3" s="122"/>
      <c r="E3" s="122"/>
      <c r="F3" s="122"/>
      <c r="G3" s="122"/>
      <c r="H3" s="122"/>
      <c r="I3" s="122"/>
      <c r="J3" s="122"/>
      <c r="K3" s="122"/>
      <c r="L3" s="122"/>
      <c r="M3" s="122"/>
      <c r="N3" s="123"/>
      <c r="O3" s="57"/>
      <c r="P3" s="57"/>
      <c r="Q3" s="57"/>
      <c r="R3" s="57"/>
      <c r="S3" s="57"/>
      <c r="T3" s="57"/>
      <c r="U3" s="57"/>
      <c r="V3" s="57"/>
      <c r="W3" s="57"/>
      <c r="X3" s="57"/>
      <c r="Y3" s="57"/>
      <c r="Z3" s="57"/>
      <c r="AA3" s="57"/>
      <c r="AB3" s="57"/>
    </row>
    <row r="4" spans="2:28" ht="15" customHeight="1" x14ac:dyDescent="0.35">
      <c r="B4" s="125" t="str">
        <f>IF(Lists!W6="UNLOCKED","Based on the information you have input, your estimated cost for the work is","Please can you read the Terms Of Use and confirm you have understood them.")</f>
        <v>Please can you read the Terms Of Use and confirm you have understood them.</v>
      </c>
      <c r="C4" s="126"/>
      <c r="D4" s="126"/>
      <c r="E4" s="126"/>
      <c r="F4" s="126"/>
      <c r="G4" s="126"/>
      <c r="H4" s="126"/>
      <c r="I4" s="126"/>
      <c r="J4" s="126"/>
      <c r="K4" s="126"/>
      <c r="L4" s="126"/>
      <c r="M4" s="126"/>
      <c r="N4" s="127"/>
      <c r="O4" s="59"/>
      <c r="P4" s="59"/>
      <c r="Q4" s="59"/>
      <c r="R4" s="59"/>
      <c r="S4" s="59"/>
      <c r="T4" s="59"/>
      <c r="U4" s="59"/>
      <c r="V4" s="59"/>
      <c r="W4" s="59"/>
      <c r="X4" s="59"/>
      <c r="Y4" s="59"/>
      <c r="Z4" s="59"/>
      <c r="AA4" s="59"/>
      <c r="AB4" s="59"/>
    </row>
    <row r="5" spans="2:28" ht="15" customHeight="1" x14ac:dyDescent="0.35">
      <c r="B5" s="125"/>
      <c r="C5" s="126"/>
      <c r="D5" s="126"/>
      <c r="E5" s="126"/>
      <c r="F5" s="126"/>
      <c r="G5" s="126"/>
      <c r="H5" s="126"/>
      <c r="I5" s="126"/>
      <c r="J5" s="126"/>
      <c r="K5" s="126"/>
      <c r="L5" s="126"/>
      <c r="M5" s="126"/>
      <c r="N5" s="127"/>
    </row>
    <row r="6" spans="2:28" ht="15" customHeight="1" x14ac:dyDescent="0.35">
      <c r="B6" s="125"/>
      <c r="C6" s="126"/>
      <c r="D6" s="126"/>
      <c r="E6" s="126"/>
      <c r="F6" s="126"/>
      <c r="G6" s="126"/>
      <c r="H6" s="126"/>
      <c r="I6" s="126"/>
      <c r="J6" s="126"/>
      <c r="K6" s="126"/>
      <c r="L6" s="126"/>
      <c r="M6" s="126"/>
      <c r="N6" s="127"/>
    </row>
    <row r="7" spans="2:28" ht="15" customHeight="1" x14ac:dyDescent="0.35">
      <c r="B7" s="125"/>
      <c r="C7" s="126"/>
      <c r="D7" s="126"/>
      <c r="E7" s="126"/>
      <c r="F7" s="126"/>
      <c r="G7" s="126"/>
      <c r="H7" s="126"/>
      <c r="I7" s="126"/>
      <c r="J7" s="126"/>
      <c r="K7" s="126"/>
      <c r="L7" s="126"/>
      <c r="M7" s="126"/>
      <c r="N7" s="127"/>
    </row>
    <row r="8" spans="2:28" ht="15" customHeight="1" x14ac:dyDescent="0.35">
      <c r="B8" s="62"/>
      <c r="C8" s="58"/>
      <c r="D8" s="58"/>
      <c r="E8" s="58"/>
      <c r="F8" s="128" t="str">
        <f>IF(Lists!W6="UNLOCKED",'Look Ups'!A1,"")</f>
        <v/>
      </c>
      <c r="G8" s="128"/>
      <c r="H8" s="128"/>
      <c r="I8" s="128"/>
      <c r="J8" s="128"/>
      <c r="K8" s="58"/>
      <c r="L8" s="58"/>
      <c r="M8" s="58"/>
      <c r="N8" s="60"/>
    </row>
    <row r="9" spans="2:28" ht="15" customHeight="1" x14ac:dyDescent="0.35">
      <c r="B9" s="62"/>
      <c r="C9" s="58"/>
      <c r="D9" s="58"/>
      <c r="E9" s="58"/>
      <c r="F9" s="128"/>
      <c r="G9" s="128"/>
      <c r="H9" s="128"/>
      <c r="I9" s="128"/>
      <c r="J9" s="128"/>
      <c r="K9" s="58"/>
      <c r="L9" s="58"/>
      <c r="M9" s="58"/>
      <c r="N9" s="60"/>
    </row>
    <row r="10" spans="2:28" ht="15" customHeight="1" x14ac:dyDescent="0.35">
      <c r="B10" s="62"/>
      <c r="C10" s="58"/>
      <c r="D10" s="58"/>
      <c r="E10" s="58"/>
      <c r="F10" s="58"/>
      <c r="G10" s="58"/>
      <c r="H10" s="58"/>
      <c r="I10" s="58"/>
      <c r="J10" s="58"/>
      <c r="K10" s="58"/>
      <c r="L10" s="58"/>
      <c r="M10" s="58"/>
      <c r="N10" s="60"/>
    </row>
    <row r="11" spans="2:28" ht="15" customHeight="1" x14ac:dyDescent="0.35">
      <c r="B11" s="62"/>
      <c r="C11" s="58"/>
      <c r="D11" s="126" t="str">
        <f>IF(Lists!W6="UNLOCKED","This comprises","")</f>
        <v/>
      </c>
      <c r="E11" s="126"/>
      <c r="F11" s="126"/>
      <c r="G11" s="126"/>
      <c r="H11" s="126"/>
      <c r="I11" s="126"/>
      <c r="J11" s="126"/>
      <c r="K11" s="126"/>
      <c r="L11" s="126"/>
      <c r="M11" s="58"/>
      <c r="N11" s="60"/>
    </row>
    <row r="12" spans="2:28" ht="15" customHeight="1" x14ac:dyDescent="0.35">
      <c r="B12" s="62"/>
      <c r="C12" s="58"/>
      <c r="D12" s="58"/>
      <c r="E12" s="58"/>
      <c r="F12" s="58"/>
      <c r="G12" s="58"/>
      <c r="H12" s="58"/>
      <c r="I12" s="58"/>
      <c r="J12" s="58"/>
      <c r="K12" s="58"/>
      <c r="L12" s="58"/>
      <c r="M12" s="58"/>
      <c r="N12" s="60"/>
    </row>
    <row r="13" spans="2:28" ht="15" customHeight="1" x14ac:dyDescent="0.35">
      <c r="B13" s="62"/>
      <c r="C13" s="58"/>
      <c r="D13" s="58"/>
      <c r="E13" s="58"/>
      <c r="F13" s="124" t="str">
        <f>IF(Lists!W6="UNLOCKED",'1. Application Fees'!C2*0.833333333333333,"")</f>
        <v/>
      </c>
      <c r="G13" s="124"/>
      <c r="H13" s="124"/>
      <c r="I13" s="124"/>
      <c r="J13" s="124"/>
      <c r="K13" s="58"/>
      <c r="L13" s="58"/>
      <c r="M13" s="58"/>
      <c r="N13" s="60"/>
    </row>
    <row r="14" spans="2:28" ht="15" customHeight="1" x14ac:dyDescent="0.35">
      <c r="B14" s="62"/>
      <c r="C14" s="58"/>
      <c r="D14" s="58"/>
      <c r="E14" s="58"/>
      <c r="F14" s="58"/>
      <c r="G14" s="58"/>
      <c r="H14" s="58"/>
      <c r="I14" s="58"/>
      <c r="J14" s="58"/>
      <c r="K14" s="58"/>
      <c r="L14" s="58"/>
      <c r="M14" s="58"/>
      <c r="N14" s="60"/>
    </row>
    <row r="15" spans="2:28" ht="15" customHeight="1" x14ac:dyDescent="0.35">
      <c r="B15" s="62"/>
      <c r="C15" s="58"/>
      <c r="D15" s="126" t="str">
        <f>IF(Lists!W6="UNLOCKED"," in application fees, exclusive of 20% VAT, ","")</f>
        <v/>
      </c>
      <c r="E15" s="126"/>
      <c r="F15" s="126"/>
      <c r="G15" s="126"/>
      <c r="H15" s="126"/>
      <c r="I15" s="126"/>
      <c r="J15" s="126"/>
      <c r="K15" s="126"/>
      <c r="L15" s="126"/>
      <c r="M15" s="58"/>
      <c r="N15" s="60"/>
    </row>
    <row r="16" spans="2:28" ht="15" customHeight="1" x14ac:dyDescent="0.35">
      <c r="B16" s="62"/>
      <c r="C16" s="58"/>
      <c r="D16" s="82"/>
      <c r="E16" s="82"/>
      <c r="F16" s="82"/>
      <c r="G16" s="82"/>
      <c r="H16" s="82"/>
      <c r="I16" s="82"/>
      <c r="J16" s="82"/>
      <c r="K16" s="82"/>
      <c r="L16" s="82"/>
      <c r="M16" s="58"/>
      <c r="N16" s="60"/>
    </row>
    <row r="17" spans="2:14" ht="15" customHeight="1" x14ac:dyDescent="0.35">
      <c r="B17" s="62"/>
      <c r="C17" s="58"/>
      <c r="D17" s="82"/>
      <c r="E17" s="82"/>
      <c r="F17" s="124" t="str">
        <f>IF(Lists!W6="UNLOCKED",'1. Application Fees'!C2-F13,"")</f>
        <v/>
      </c>
      <c r="G17" s="124"/>
      <c r="H17" s="124"/>
      <c r="I17" s="124"/>
      <c r="J17" s="124"/>
      <c r="K17" s="82"/>
      <c r="L17" s="82"/>
      <c r="M17" s="58"/>
      <c r="N17" s="60"/>
    </row>
    <row r="18" spans="2:14" ht="15" customHeight="1" x14ac:dyDescent="0.35">
      <c r="B18" s="62"/>
      <c r="C18" s="58"/>
      <c r="D18" s="82"/>
      <c r="E18" s="82"/>
      <c r="F18" s="82"/>
      <c r="G18" s="82"/>
      <c r="H18" s="82"/>
      <c r="I18" s="82"/>
      <c r="J18" s="82"/>
      <c r="K18" s="82"/>
      <c r="L18" s="82"/>
      <c r="M18" s="58"/>
      <c r="N18" s="60"/>
    </row>
    <row r="19" spans="2:14" ht="15" customHeight="1" x14ac:dyDescent="0.35">
      <c r="B19" s="62"/>
      <c r="C19" s="58"/>
      <c r="D19" s="82"/>
      <c r="E19" s="82"/>
      <c r="F19" s="126" t="str">
        <f>IF(Lists!W6="UNLOCKED"," in VAT on application fees, and","")</f>
        <v/>
      </c>
      <c r="G19" s="126"/>
      <c r="H19" s="126"/>
      <c r="I19" s="126"/>
      <c r="J19" s="126"/>
      <c r="K19" s="82"/>
      <c r="L19" s="82"/>
      <c r="M19" s="58"/>
      <c r="N19" s="60"/>
    </row>
    <row r="20" spans="2:14" ht="15" customHeight="1" x14ac:dyDescent="0.35">
      <c r="B20" s="62"/>
      <c r="C20" s="58"/>
      <c r="D20" s="58"/>
      <c r="E20" s="58"/>
      <c r="F20" s="58"/>
      <c r="G20" s="58"/>
      <c r="H20" s="58"/>
      <c r="I20" s="58"/>
      <c r="J20" s="58"/>
      <c r="K20" s="58"/>
      <c r="L20" s="58"/>
      <c r="M20" s="58"/>
      <c r="N20" s="60"/>
    </row>
    <row r="21" spans="2:14" ht="15" customHeight="1" x14ac:dyDescent="0.35">
      <c r="B21" s="62"/>
      <c r="C21" s="58"/>
      <c r="D21" s="58"/>
      <c r="E21" s="58"/>
      <c r="F21" s="124" t="str">
        <f>IF(Lists!W6="UNLOCKED",'Look Ups'!A1-'1. Application Fees'!C2,"")</f>
        <v/>
      </c>
      <c r="G21" s="124"/>
      <c r="H21" s="124"/>
      <c r="I21" s="124"/>
      <c r="J21" s="124"/>
      <c r="K21" s="58"/>
      <c r="L21" s="58"/>
      <c r="M21" s="58"/>
      <c r="N21" s="60"/>
    </row>
    <row r="22" spans="2:14" ht="15" customHeight="1" x14ac:dyDescent="0.35">
      <c r="B22" s="62"/>
      <c r="C22" s="58"/>
      <c r="D22" s="58"/>
      <c r="E22" s="58"/>
      <c r="F22" s="58"/>
      <c r="G22" s="58"/>
      <c r="H22" s="58"/>
      <c r="I22" s="58"/>
      <c r="J22" s="58"/>
      <c r="K22" s="58"/>
      <c r="L22" s="58"/>
      <c r="M22" s="58"/>
      <c r="N22" s="60"/>
    </row>
    <row r="23" spans="2:14" ht="15" customHeight="1" x14ac:dyDescent="0.35">
      <c r="B23" s="62"/>
      <c r="C23" s="58"/>
      <c r="D23" s="126" t="str">
        <f>IF(Lists!W6="UNLOCKED","in other charges, which are excluding VAT.","")</f>
        <v/>
      </c>
      <c r="E23" s="126"/>
      <c r="F23" s="126"/>
      <c r="G23" s="126"/>
      <c r="H23" s="126"/>
      <c r="I23" s="126"/>
      <c r="J23" s="126"/>
      <c r="K23" s="126"/>
      <c r="L23" s="126"/>
      <c r="M23" s="58"/>
      <c r="N23" s="60"/>
    </row>
    <row r="24" spans="2:14" ht="15" customHeight="1" x14ac:dyDescent="0.35">
      <c r="B24" s="62"/>
      <c r="C24" s="58"/>
      <c r="D24" s="126"/>
      <c r="E24" s="126"/>
      <c r="F24" s="126"/>
      <c r="G24" s="126"/>
      <c r="H24" s="126"/>
      <c r="I24" s="126"/>
      <c r="J24" s="126"/>
      <c r="K24" s="126"/>
      <c r="L24" s="126"/>
      <c r="M24" s="58"/>
      <c r="N24" s="60"/>
    </row>
    <row r="25" spans="2:14" ht="14.5" customHeight="1" x14ac:dyDescent="0.35">
      <c r="B25" s="63"/>
      <c r="C25" s="59"/>
      <c r="D25" s="129" t="str">
        <f>IF(Lists!W6="UNLOCKED","This is a cost estimate for information purposes only, and does not constitute a formal quote or an offer capable of acceptance.","")</f>
        <v/>
      </c>
      <c r="E25" s="129"/>
      <c r="F25" s="129"/>
      <c r="G25" s="129"/>
      <c r="H25" s="129"/>
      <c r="I25" s="129"/>
      <c r="J25" s="129"/>
      <c r="K25" s="129"/>
      <c r="L25" s="129"/>
      <c r="M25" s="59"/>
      <c r="N25" s="61"/>
    </row>
    <row r="26" spans="2:14" ht="14.5" customHeight="1" x14ac:dyDescent="0.35">
      <c r="B26" s="63"/>
      <c r="C26" s="59"/>
      <c r="D26" s="129"/>
      <c r="E26" s="129"/>
      <c r="F26" s="129"/>
      <c r="G26" s="129"/>
      <c r="H26" s="129"/>
      <c r="I26" s="129"/>
      <c r="J26" s="129"/>
      <c r="K26" s="129"/>
      <c r="L26" s="129"/>
      <c r="M26" s="59"/>
      <c r="N26" s="61"/>
    </row>
    <row r="27" spans="2:14" ht="14.5" customHeight="1" x14ac:dyDescent="0.35">
      <c r="B27" s="63"/>
      <c r="C27" s="59"/>
      <c r="D27" s="129"/>
      <c r="E27" s="129"/>
      <c r="F27" s="129"/>
      <c r="G27" s="129"/>
      <c r="H27" s="129"/>
      <c r="I27" s="129"/>
      <c r="J27" s="129"/>
      <c r="K27" s="129"/>
      <c r="L27" s="129"/>
      <c r="M27" s="59"/>
      <c r="N27" s="61"/>
    </row>
    <row r="28" spans="2:14" ht="15" customHeight="1" thickBot="1" x14ac:dyDescent="0.4">
      <c r="B28" s="64"/>
      <c r="C28" s="65"/>
      <c r="D28" s="81"/>
      <c r="E28" s="81"/>
      <c r="F28" s="81"/>
      <c r="G28" s="81"/>
      <c r="H28" s="81"/>
      <c r="I28" s="81"/>
      <c r="J28" s="81"/>
      <c r="K28" s="81"/>
      <c r="L28" s="81"/>
      <c r="M28" s="65"/>
      <c r="N28" s="66"/>
    </row>
    <row r="29" spans="2:14" ht="15" thickTop="1" x14ac:dyDescent="0.35"/>
    <row r="33" x14ac:dyDescent="0.35"/>
    <row r="34" x14ac:dyDescent="0.35"/>
    <row r="35" x14ac:dyDescent="0.35"/>
  </sheetData>
  <sheetProtection algorithmName="SHA-512" hashValue="jRUdmir0zxiFKYgeXxo4pQQNK4ooO/+9zhZ31SLsCt9nAA3Xsf5QdWE49PJglf89E4JClWnBbduLA28fE5XMzw==" saltValue="ntcIH64h6Ctc9uWVDHcn4g==" spinCount="100000" sheet="1" objects="1" scenarios="1"/>
  <mergeCells count="12">
    <mergeCell ref="D25:L27"/>
    <mergeCell ref="F17:J17"/>
    <mergeCell ref="F19:J19"/>
    <mergeCell ref="D23:L23"/>
    <mergeCell ref="D24:L24"/>
    <mergeCell ref="B2:N3"/>
    <mergeCell ref="F21:J21"/>
    <mergeCell ref="B4:N7"/>
    <mergeCell ref="D11:L11"/>
    <mergeCell ref="F8:J9"/>
    <mergeCell ref="F13:J13"/>
    <mergeCell ref="D15:L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694A-265A-42A9-8E91-C0EA4C1E8FE8}">
  <sheetPr codeName="Sheet4">
    <tabColor theme="9" tint="0.39997558519241921"/>
  </sheetPr>
  <dimension ref="A1:O29"/>
  <sheetViews>
    <sheetView showGridLines="0" showRowColHeaders="0" topLeftCell="H4" zoomScaleNormal="100" workbookViewId="0">
      <selection activeCell="K4" sqref="K4:N18"/>
    </sheetView>
  </sheetViews>
  <sheetFormatPr defaultColWidth="0" defaultRowHeight="14.5" zeroHeight="1" x14ac:dyDescent="0.35"/>
  <cols>
    <col min="1" max="1" width="3.453125" style="10" customWidth="1"/>
    <col min="2" max="4" width="20.81640625" style="10" customWidth="1"/>
    <col min="5" max="5" width="14" style="10" hidden="1" customWidth="1"/>
    <col min="6" max="6" width="33.453125" style="10" customWidth="1"/>
    <col min="7" max="7" width="25.1796875" style="10" hidden="1" customWidth="1"/>
    <col min="8" max="8" width="31.26953125" style="10" customWidth="1"/>
    <col min="9" max="9" width="36.81640625" style="10" customWidth="1"/>
    <col min="10" max="10" width="3.54296875" style="10" customWidth="1"/>
    <col min="11" max="13" width="8.7265625" style="10" customWidth="1"/>
    <col min="14" max="14" width="32.54296875" style="10" customWidth="1"/>
    <col min="15" max="15" width="8.7265625" style="10" customWidth="1"/>
    <col min="16" max="16384" width="8.7265625" style="10" hidden="1"/>
  </cols>
  <sheetData>
    <row r="1" spans="2:14" ht="14.5" customHeight="1" x14ac:dyDescent="0.35"/>
    <row r="2" spans="2:14" ht="21.5" x14ac:dyDescent="0.9">
      <c r="B2" s="22" t="s">
        <v>80</v>
      </c>
      <c r="C2" s="130" t="str">
        <f>IF(Lists!W6="LOCKED","Please confirm your acceptance of the Terms of Use",SUM(F5:F22,H5:H22,I5:I22))</f>
        <v>Please confirm your acceptance of the Terms of Use</v>
      </c>
      <c r="D2" s="130"/>
      <c r="E2" s="130"/>
      <c r="F2" s="130"/>
      <c r="G2" s="130"/>
      <c r="H2" s="130"/>
      <c r="I2" s="130"/>
    </row>
    <row r="3" spans="2:14" ht="14.5" customHeight="1" thickBot="1" x14ac:dyDescent="0.95">
      <c r="B3" s="11"/>
      <c r="C3" s="12"/>
      <c r="D3" s="11"/>
      <c r="E3" s="11"/>
      <c r="F3" s="11"/>
      <c r="G3" s="13"/>
    </row>
    <row r="4" spans="2:14" ht="64.5" customHeight="1" x14ac:dyDescent="0.35">
      <c r="B4" s="20" t="s">
        <v>206</v>
      </c>
      <c r="C4" s="20" t="s">
        <v>207</v>
      </c>
      <c r="D4" s="20" t="s">
        <v>208</v>
      </c>
      <c r="E4" s="15" t="s">
        <v>102</v>
      </c>
      <c r="F4" s="18" t="s">
        <v>243</v>
      </c>
      <c r="G4" s="19"/>
      <c r="H4" s="18" t="s">
        <v>184</v>
      </c>
      <c r="I4" s="18" t="s">
        <v>209</v>
      </c>
      <c r="K4" s="132" t="s">
        <v>218</v>
      </c>
      <c r="L4" s="133"/>
      <c r="M4" s="133"/>
      <c r="N4" s="134"/>
    </row>
    <row r="5" spans="2:14" ht="22" customHeight="1" x14ac:dyDescent="0.35">
      <c r="B5" s="28"/>
      <c r="C5" s="28"/>
      <c r="D5" s="28"/>
      <c r="E5" s="29" t="str">
        <f>B5&amp;C5&amp;D5</f>
        <v/>
      </c>
      <c r="F5" s="33" t="str">
        <f>IFERROR(IF(AND(B5="No",C5="SLP"),"Not Applicable",(VLOOKUP(E5,'Look Ups'!$AF$11:$AK$26,6,FALSE)*1.2)),"")</f>
        <v/>
      </c>
      <c r="G5" s="33" t="str">
        <f>IFERROR(IF(AND(B5="No",C5="SLP"),"We do not currently accept SLP Designs For Mains Schemes Where We Are Completing The Main Laying.",IF(B5="No","This comprises £"&amp;VLOOKUP(E5,'Look Ups'!$AF$11:$AK$26,6,FALSE)&amp;" in Application and Design Fees, a £217 Call Off Fee, a £46 Fire Consultation Fee and VAT at 20%.",IF(C5="Yorkshire Water","This comprises £"&amp;VLOOKUP(E5,'Look Ups'!$AF$11:$AK$26,6,FALSE)&amp;" in Application and Design Fees, a £217 Call Off Fee, a £42 Self Lay Agreement Fee, a £46 Fire Consultation Fee and VAT at 20%.","This comprises £"&amp;VLOOKUP(E5,'Look Ups'!$AF$11:$AK$26,6,FALSE)&amp;" in Application and Design Fees, a £217 Call Off Fee, a £42 Self Lay Agreement Fee and VAT at 20%"))),"")</f>
        <v/>
      </c>
      <c r="H5" s="33" t="str">
        <f>IFERROR(IF(AND(B5="No",C5="SLP"),"Not Applicable",(VLOOKUP(E5,'Look Ups'!$AF$11:$AM$26,8,FALSE)*1.2)),"")</f>
        <v/>
      </c>
      <c r="I5" s="33" t="str">
        <f>IFERROR(IF(AND(B5="No",C5="SLP"),"Not Applicable",(VLOOKUP(E5,'Look Ups'!$AF$11:$AN$26,9,FALSE)*1.2)),"")</f>
        <v/>
      </c>
      <c r="K5" s="135"/>
      <c r="L5" s="136"/>
      <c r="M5" s="136"/>
      <c r="N5" s="137"/>
    </row>
    <row r="6" spans="2:14" ht="22" customHeight="1" x14ac:dyDescent="0.35">
      <c r="B6" s="28"/>
      <c r="C6" s="28"/>
      <c r="D6" s="28"/>
      <c r="E6" s="29" t="str">
        <f t="shared" ref="E6:E22" si="0">B6&amp;C6&amp;D6</f>
        <v/>
      </c>
      <c r="F6" s="33" t="str">
        <f>IFERROR(IF(AND(B6="No",C6="SLP"),"Not Applicable",(VLOOKUP(E6,'Look Ups'!$AF$11:$AK$26,6,FALSE)*1.2)),"")</f>
        <v/>
      </c>
      <c r="G6" s="33" t="str">
        <f>IFERROR(IF(AND(B6="No",C6="SLP"),"We do not currently accept SLP Designs For Mains Schemes Where We Are Completing The Main Laying.",IF(B6="No","This comprises £"&amp;VLOOKUP(E6,'Look Ups'!$AF$11:$AK$26,6,FALSE)&amp;" in Application and Design Fees, a £217 Call Off Fee, a £46 Fire Consultation Fee and VAT at 20%.",IF(C6="Yorkshire Water","This comprises £"&amp;VLOOKUP(E6,'Look Ups'!$AF$11:$AK$26,6,FALSE)&amp;" in Application and Design Fees, a £217 Call Off Fee, a £42 Self Lay Agreement Fee, a £46 Fire Consultation Fee and VAT at 20%.","This comprises £"&amp;VLOOKUP(E6,'Look Ups'!$AF$11:$AK$26,6,FALSE)&amp;" in Application and Design Fees, a £217 Call Off Fee, a £42 Self Lay Agreement Fee and VAT at 20%"))),"")</f>
        <v/>
      </c>
      <c r="H6" s="33" t="str">
        <f>IFERROR(IF(AND(B6="No",C6="SLP"),"Not Applicable",(VLOOKUP(E6,'Look Ups'!$AF$11:$AM$26,8,FALSE)*1.2)),"")</f>
        <v/>
      </c>
      <c r="I6" s="33" t="str">
        <f>IFERROR(IF(AND(B6="No",C6="SLP"),"Not Applicable",(VLOOKUP(E6,'Look Ups'!$AF$11:$AN$26,9,FALSE)*1.2)),"")</f>
        <v/>
      </c>
      <c r="K6" s="135"/>
      <c r="L6" s="136"/>
      <c r="M6" s="136"/>
      <c r="N6" s="137"/>
    </row>
    <row r="7" spans="2:14" ht="22" customHeight="1" x14ac:dyDescent="0.35">
      <c r="B7" s="28"/>
      <c r="C7" s="28"/>
      <c r="D7" s="28"/>
      <c r="E7" s="29" t="str">
        <f t="shared" si="0"/>
        <v/>
      </c>
      <c r="F7" s="33" t="str">
        <f>IFERROR(IF(AND(B7="No",C7="SLP"),"Not Applicable",(VLOOKUP(E7,'Look Ups'!$AF$11:$AK$26,6,FALSE)*1.2)),"")</f>
        <v/>
      </c>
      <c r="G7" s="33" t="str">
        <f>IFERROR(IF(AND(B7="No",C7="SLP"),"We do not currently accept SLP Designs For Mains Schemes Where We Are Completing The Main Laying.",IF(B7="No","This comprises £"&amp;VLOOKUP(E7,'Look Ups'!$AF$11:$AK$26,6,FALSE)&amp;" in Application and Design Fees, a £217 Call Off Fee, a £46 Fire Consultation Fee and VAT at 20%.",IF(C7="Yorkshire Water","This comprises £"&amp;VLOOKUP(E7,'Look Ups'!$AF$11:$AK$26,6,FALSE)&amp;" in Application and Design Fees, a £217 Call Off Fee, a £42 Self Lay Agreement Fee, a £46 Fire Consultation Fee and VAT at 20%.","This comprises £"&amp;VLOOKUP(E7,'Look Ups'!$AF$11:$AK$26,6,FALSE)&amp;" in Application and Design Fees, a £217 Call Off Fee, a £42 Self Lay Agreement Fee and VAT at 20%"))),"")</f>
        <v/>
      </c>
      <c r="H7" s="33" t="str">
        <f>IFERROR(IF(AND(B7="No",C7="SLP"),"Not Applicable",(VLOOKUP(E7,'Look Ups'!$AF$11:$AM$26,8,FALSE)*1.2)),"")</f>
        <v/>
      </c>
      <c r="I7" s="33" t="str">
        <f>IFERROR(IF(AND(B7="No",C7="SLP"),"Not Applicable",(VLOOKUP(E7,'Look Ups'!$AF$11:$AN$26,9,FALSE)*1.2)),"")</f>
        <v/>
      </c>
      <c r="K7" s="135"/>
      <c r="L7" s="136"/>
      <c r="M7" s="136"/>
      <c r="N7" s="137"/>
    </row>
    <row r="8" spans="2:14" ht="22" customHeight="1" x14ac:dyDescent="0.35">
      <c r="B8" s="28"/>
      <c r="C8" s="28"/>
      <c r="D8" s="28"/>
      <c r="E8" s="29" t="str">
        <f t="shared" si="0"/>
        <v/>
      </c>
      <c r="F8" s="33" t="str">
        <f>IFERROR(IF(AND(B8="No",C8="SLP"),"Not Applicable",(VLOOKUP(E8,'Look Ups'!$AF$11:$AK$26,6,FALSE)*1.2)),"")</f>
        <v/>
      </c>
      <c r="G8" s="33" t="str">
        <f>IFERROR(IF(AND(B8="No",C8="SLP"),"We do not currently accept SLP Designs For Mains Schemes Where We Are Completing The Main Laying.",IF(B8="No","This comprises £"&amp;VLOOKUP(E8,'Look Ups'!$AF$11:$AK$26,6,FALSE)&amp;" in Application and Design Fees, a £217 Call Off Fee, a £46 Fire Consultation Fee and VAT at 20%.",IF(C8="Yorkshire Water","This comprises £"&amp;VLOOKUP(E8,'Look Ups'!$AF$11:$AK$26,6,FALSE)&amp;" in Application and Design Fees, a £217 Call Off Fee, a £42 Self Lay Agreement Fee, a £46 Fire Consultation Fee and VAT at 20%.","This comprises £"&amp;VLOOKUP(E8,'Look Ups'!$AF$11:$AK$26,6,FALSE)&amp;" in Application and Design Fees, a £217 Call Off Fee, a £42 Self Lay Agreement Fee and VAT at 20%"))),"")</f>
        <v/>
      </c>
      <c r="H8" s="33" t="str">
        <f>IFERROR(IF(AND(B8="No",C8="SLP"),"Not Applicable",(VLOOKUP(E8,'Look Ups'!$AF$11:$AM$26,8,FALSE)*1.2)),"")</f>
        <v/>
      </c>
      <c r="I8" s="33" t="str">
        <f>IFERROR(IF(AND(B8="No",C8="SLP"),"Not Applicable",(VLOOKUP(E8,'Look Ups'!$AF$11:$AN$26,9,FALSE)*1.2)),"")</f>
        <v/>
      </c>
      <c r="K8" s="135"/>
      <c r="L8" s="136"/>
      <c r="M8" s="136"/>
      <c r="N8" s="137"/>
    </row>
    <row r="9" spans="2:14" ht="22" customHeight="1" x14ac:dyDescent="0.35">
      <c r="B9" s="28"/>
      <c r="C9" s="28"/>
      <c r="D9" s="28"/>
      <c r="E9" s="29" t="str">
        <f t="shared" si="0"/>
        <v/>
      </c>
      <c r="F9" s="33" t="str">
        <f>IFERROR(IF(AND(B9="No",C9="SLP"),"Not Applicable",(VLOOKUP(E9,'Look Ups'!$AF$11:$AK$26,6,FALSE)*1.2)),"")</f>
        <v/>
      </c>
      <c r="G9" s="33" t="str">
        <f>IFERROR(IF(AND(B9="No",C9="SLP"),"We do not currently accept SLP Designs For Mains Schemes Where We Are Completing The Main Laying.",IF(B9="No","This comprises £"&amp;VLOOKUP(E9,'Look Ups'!$AF$11:$AK$26,6,FALSE)&amp;" in Application and Design Fees, a £217 Call Off Fee, a £46 Fire Consultation Fee and VAT at 20%.",IF(C9="Yorkshire Water","This comprises £"&amp;VLOOKUP(E9,'Look Ups'!$AF$11:$AK$26,6,FALSE)&amp;" in Application and Design Fees, a £217 Call Off Fee, a £42 Self Lay Agreement Fee, a £46 Fire Consultation Fee and VAT at 20%.","This comprises £"&amp;VLOOKUP(E9,'Look Ups'!$AF$11:$AK$26,6,FALSE)&amp;" in Application and Design Fees, a £217 Call Off Fee, a £42 Self Lay Agreement Fee and VAT at 20%"))),"")</f>
        <v/>
      </c>
      <c r="H9" s="33" t="str">
        <f>IFERROR(IF(AND(B9="No",C9="SLP"),"Not Applicable",(VLOOKUP(E9,'Look Ups'!$AF$11:$AM$26,8,FALSE)*1.2)),"")</f>
        <v/>
      </c>
      <c r="I9" s="33" t="str">
        <f>IFERROR(IF(AND(B9="No",C9="SLP"),"Not Applicable",(VLOOKUP(E9,'Look Ups'!$AF$11:$AN$26,9,FALSE)*1.2)),"")</f>
        <v/>
      </c>
      <c r="K9" s="135"/>
      <c r="L9" s="136"/>
      <c r="M9" s="136"/>
      <c r="N9" s="137"/>
    </row>
    <row r="10" spans="2:14" ht="22" customHeight="1" x14ac:dyDescent="0.35">
      <c r="B10" s="28"/>
      <c r="C10" s="28"/>
      <c r="D10" s="28"/>
      <c r="E10" s="29" t="str">
        <f t="shared" si="0"/>
        <v/>
      </c>
      <c r="F10" s="33" t="str">
        <f>IFERROR(IF(AND(B10="No",C10="SLP"),"Not Applicable",(VLOOKUP(E10,'Look Ups'!$AF$11:$AK$26,6,FALSE)*1.2)),"")</f>
        <v/>
      </c>
      <c r="G10" s="33" t="str">
        <f>IFERROR(IF(AND(B10="No",C10="SLP"),"We do not currently accept SLP Designs For Mains Schemes Where We Are Completing The Main Laying.",IF(B10="No","This comprises £"&amp;VLOOKUP(E10,'Look Ups'!$AF$11:$AK$26,6,FALSE)&amp;" in Application and Design Fees, a £217 Call Off Fee, a £46 Fire Consultation Fee and VAT at 20%.",IF(C10="Yorkshire Water","This comprises £"&amp;VLOOKUP(E10,'Look Ups'!$AF$11:$AK$26,6,FALSE)&amp;" in Application and Design Fees, a £217 Call Off Fee, a £42 Self Lay Agreement Fee, a £46 Fire Consultation Fee and VAT at 20%.","This comprises £"&amp;VLOOKUP(E10,'Look Ups'!$AF$11:$AK$26,6,FALSE)&amp;" in Application and Design Fees, a £217 Call Off Fee, a £42 Self Lay Agreement Fee and VAT at 20%"))),"")</f>
        <v/>
      </c>
      <c r="H10" s="33" t="str">
        <f>IFERROR(IF(AND(B10="No",C10="SLP"),"Not Applicable",(VLOOKUP(E10,'Look Ups'!$AF$11:$AM$26,8,FALSE)*1.2)),"")</f>
        <v/>
      </c>
      <c r="I10" s="33" t="str">
        <f>IFERROR(IF(AND(B10="No",C10="SLP"),"Not Applicable",(VLOOKUP(E10,'Look Ups'!$AF$11:$AN$26,9,FALSE)*1.2)),"")</f>
        <v/>
      </c>
      <c r="K10" s="135"/>
      <c r="L10" s="136"/>
      <c r="M10" s="136"/>
      <c r="N10" s="137"/>
    </row>
    <row r="11" spans="2:14" ht="22" customHeight="1" x14ac:dyDescent="0.35">
      <c r="B11" s="28"/>
      <c r="C11" s="28"/>
      <c r="D11" s="28"/>
      <c r="E11" s="29" t="str">
        <f t="shared" si="0"/>
        <v/>
      </c>
      <c r="F11" s="33" t="str">
        <f>IFERROR(IF(AND(B11="No",C11="SLP"),"Not Applicable",(VLOOKUP(E11,'Look Ups'!$AF$11:$AK$26,6,FALSE)*1.2)),"")</f>
        <v/>
      </c>
      <c r="G11" s="33" t="str">
        <f>IFERROR(IF(AND(B11="No",C11="SLP"),"We do not currently accept SLP Designs For Mains Schemes Where We Are Completing The Main Laying.",IF(B11="No","This comprises £"&amp;VLOOKUP(E11,'Look Ups'!$AF$11:$AK$26,6,FALSE)&amp;" in Application and Design Fees, a £217 Call Off Fee, a £46 Fire Consultation Fee and VAT at 20%.",IF(C11="Yorkshire Water","This comprises £"&amp;VLOOKUP(E11,'Look Ups'!$AF$11:$AK$26,6,FALSE)&amp;" in Application and Design Fees, a £217 Call Off Fee, a £42 Self Lay Agreement Fee, a £46 Fire Consultation Fee and VAT at 20%.","This comprises £"&amp;VLOOKUP(E11,'Look Ups'!$AF$11:$AK$26,6,FALSE)&amp;" in Application and Design Fees, a £217 Call Off Fee, a £42 Self Lay Agreement Fee and VAT at 20%"))),"")</f>
        <v/>
      </c>
      <c r="H11" s="33" t="str">
        <f>IFERROR(IF(AND(B11="No",C11="SLP"),"Not Applicable",(VLOOKUP(E11,'Look Ups'!$AF$11:$AM$26,8,FALSE)*1.2)),"")</f>
        <v/>
      </c>
      <c r="I11" s="33" t="str">
        <f>IFERROR(IF(AND(B11="No",C11="SLP"),"Not Applicable",(VLOOKUP(E11,'Look Ups'!$AF$11:$AN$26,9,FALSE)*1.2)),"")</f>
        <v/>
      </c>
      <c r="K11" s="135"/>
      <c r="L11" s="136"/>
      <c r="M11" s="136"/>
      <c r="N11" s="137"/>
    </row>
    <row r="12" spans="2:14" ht="22" customHeight="1" x14ac:dyDescent="0.35">
      <c r="B12" s="28"/>
      <c r="C12" s="28"/>
      <c r="D12" s="28"/>
      <c r="E12" s="29" t="str">
        <f t="shared" si="0"/>
        <v/>
      </c>
      <c r="F12" s="33" t="str">
        <f>IFERROR(IF(AND(B12="No",C12="SLP"),"Not Applicable",(VLOOKUP(E12,'Look Ups'!$AF$11:$AK$26,6,FALSE)*1.2)),"")</f>
        <v/>
      </c>
      <c r="G12" s="33" t="str">
        <f>IFERROR(IF(AND(B12="No",C12="SLP"),"We do not currently accept SLP Designs For Mains Schemes Where We Are Completing The Main Laying.",IF(B12="No","This comprises £"&amp;VLOOKUP(E12,'Look Ups'!$AF$11:$AK$26,6,FALSE)&amp;" in Application and Design Fees, a £217 Call Off Fee, a £46 Fire Consultation Fee and VAT at 20%.",IF(C12="Yorkshire Water","This comprises £"&amp;VLOOKUP(E12,'Look Ups'!$AF$11:$AK$26,6,FALSE)&amp;" in Application and Design Fees, a £217 Call Off Fee, a £42 Self Lay Agreement Fee, a £46 Fire Consultation Fee and VAT at 20%.","This comprises £"&amp;VLOOKUP(E12,'Look Ups'!$AF$11:$AK$26,6,FALSE)&amp;" in Application and Design Fees, a £217 Call Off Fee, a £42 Self Lay Agreement Fee and VAT at 20%"))),"")</f>
        <v/>
      </c>
      <c r="H12" s="33" t="str">
        <f>IFERROR(IF(AND(B12="No",C12="SLP"),"Not Applicable",(VLOOKUP(E12,'Look Ups'!$AF$11:$AM$26,8,FALSE)*1.2)),"")</f>
        <v/>
      </c>
      <c r="I12" s="33" t="str">
        <f>IFERROR(IF(AND(B12="No",C12="SLP"),"Not Applicable",(VLOOKUP(E12,'Look Ups'!$AF$11:$AN$26,9,FALSE)*1.2)),"")</f>
        <v/>
      </c>
      <c r="K12" s="135"/>
      <c r="L12" s="136"/>
      <c r="M12" s="136"/>
      <c r="N12" s="137"/>
    </row>
    <row r="13" spans="2:14" ht="22" customHeight="1" x14ac:dyDescent="0.35">
      <c r="B13" s="28"/>
      <c r="C13" s="28"/>
      <c r="D13" s="28"/>
      <c r="E13" s="29" t="str">
        <f t="shared" si="0"/>
        <v/>
      </c>
      <c r="F13" s="33" t="str">
        <f>IFERROR(IF(AND(B13="No",C13="SLP"),"Not Applicable",(VLOOKUP(E13,'Look Ups'!$AF$11:$AK$26,6,FALSE)*1.2)),"")</f>
        <v/>
      </c>
      <c r="G13" s="33" t="str">
        <f>IFERROR(IF(AND(B13="No",C13="SLP"),"We do not currently accept SLP Designs For Mains Schemes Where We Are Completing The Main Laying.",IF(B13="No","This comprises £"&amp;VLOOKUP(E13,'Look Ups'!$AF$11:$AK$26,6,FALSE)&amp;" in Application and Design Fees, a £217 Call Off Fee, a £46 Fire Consultation Fee and VAT at 20%.",IF(C13="Yorkshire Water","This comprises £"&amp;VLOOKUP(E13,'Look Ups'!$AF$11:$AK$26,6,FALSE)&amp;" in Application and Design Fees, a £217 Call Off Fee, a £42 Self Lay Agreement Fee, a £46 Fire Consultation Fee and VAT at 20%.","This comprises £"&amp;VLOOKUP(E13,'Look Ups'!$AF$11:$AK$26,6,FALSE)&amp;" in Application and Design Fees, a £217 Call Off Fee, a £42 Self Lay Agreement Fee and VAT at 20%"))),"")</f>
        <v/>
      </c>
      <c r="H13" s="33" t="str">
        <f>IFERROR(IF(AND(B13="No",C13="SLP"),"Not Applicable",(VLOOKUP(E13,'Look Ups'!$AF$11:$AM$26,8,FALSE)*1.2)),"")</f>
        <v/>
      </c>
      <c r="I13" s="33" t="str">
        <f>IFERROR(IF(AND(B13="No",C13="SLP"),"Not Applicable",(VLOOKUP(E13,'Look Ups'!$AF$11:$AN$26,9,FALSE)*1.2)),"")</f>
        <v/>
      </c>
      <c r="K13" s="135"/>
      <c r="L13" s="136"/>
      <c r="M13" s="136"/>
      <c r="N13" s="137"/>
    </row>
    <row r="14" spans="2:14" ht="22" customHeight="1" x14ac:dyDescent="0.35">
      <c r="B14" s="28"/>
      <c r="C14" s="28"/>
      <c r="D14" s="28"/>
      <c r="E14" s="29" t="str">
        <f t="shared" si="0"/>
        <v/>
      </c>
      <c r="F14" s="33" t="str">
        <f>IFERROR(IF(AND(B14="No",C14="SLP"),"Not Applicable",(VLOOKUP(E14,'Look Ups'!$AF$11:$AK$26,6,FALSE)*1.2)),"")</f>
        <v/>
      </c>
      <c r="G14" s="33" t="str">
        <f>IFERROR(IF(AND(B14="No",C14="SLP"),"We do not currently accept SLP Designs For Mains Schemes Where We Are Completing The Main Laying.",IF(B14="No","This comprises £"&amp;VLOOKUP(E14,'Look Ups'!$AF$11:$AK$26,6,FALSE)&amp;" in Application and Design Fees, a £217 Call Off Fee, a £46 Fire Consultation Fee and VAT at 20%.",IF(C14="Yorkshire Water","This comprises £"&amp;VLOOKUP(E14,'Look Ups'!$AF$11:$AK$26,6,FALSE)&amp;" in Application and Design Fees, a £217 Call Off Fee, a £42 Self Lay Agreement Fee, a £46 Fire Consultation Fee and VAT at 20%.","This comprises £"&amp;VLOOKUP(E14,'Look Ups'!$AF$11:$AK$26,6,FALSE)&amp;" in Application and Design Fees, a £217 Call Off Fee, a £42 Self Lay Agreement Fee and VAT at 20%"))),"")</f>
        <v/>
      </c>
      <c r="H14" s="33" t="str">
        <f>IFERROR(IF(AND(B14="No",C14="SLP"),"Not Applicable",(VLOOKUP(E14,'Look Ups'!$AF$11:$AM$26,8,FALSE)*1.2)),"")</f>
        <v/>
      </c>
      <c r="I14" s="33" t="str">
        <f>IFERROR(IF(AND(B14="No",C14="SLP"),"Not Applicable",(VLOOKUP(E14,'Look Ups'!$AF$11:$AN$26,9,FALSE)*1.2)),"")</f>
        <v/>
      </c>
      <c r="K14" s="135"/>
      <c r="L14" s="136"/>
      <c r="M14" s="136"/>
      <c r="N14" s="137"/>
    </row>
    <row r="15" spans="2:14" ht="22" customHeight="1" x14ac:dyDescent="0.35">
      <c r="B15" s="28"/>
      <c r="C15" s="28"/>
      <c r="D15" s="28"/>
      <c r="E15" s="29" t="str">
        <f t="shared" si="0"/>
        <v/>
      </c>
      <c r="F15" s="33" t="str">
        <f>IFERROR(IF(AND(B15="No",C15="SLP"),"Not Applicable",(VLOOKUP(E15,'Look Ups'!$AF$11:$AK$26,6,FALSE)*1.2)),"")</f>
        <v/>
      </c>
      <c r="G15" s="33" t="str">
        <f>IFERROR(IF(AND(B15="No",C15="SLP"),"We do not currently accept SLP Designs For Mains Schemes Where We Are Completing The Main Laying.",IF(B15="No","This comprises £"&amp;VLOOKUP(E15,'Look Ups'!$AF$11:$AK$26,6,FALSE)&amp;" in Application and Design Fees, a £217 Call Off Fee, a £46 Fire Consultation Fee and VAT at 20%.",IF(C15="Yorkshire Water","This comprises £"&amp;VLOOKUP(E15,'Look Ups'!$AF$11:$AK$26,6,FALSE)&amp;" in Application and Design Fees, a £217 Call Off Fee, a £42 Self Lay Agreement Fee, a £46 Fire Consultation Fee and VAT at 20%.","This comprises £"&amp;VLOOKUP(E15,'Look Ups'!$AF$11:$AK$26,6,FALSE)&amp;" in Application and Design Fees, a £217 Call Off Fee, a £42 Self Lay Agreement Fee and VAT at 20%"))),"")</f>
        <v/>
      </c>
      <c r="H15" s="33" t="str">
        <f>IFERROR(IF(AND(B15="No",C15="SLP"),"Not Applicable",(VLOOKUP(E15,'Look Ups'!$AF$11:$AM$26,8,FALSE)*1.2)),"")</f>
        <v/>
      </c>
      <c r="I15" s="33" t="str">
        <f>IFERROR(IF(AND(B15="No",C15="SLP"),"Not Applicable",(VLOOKUP(E15,'Look Ups'!$AF$11:$AN$26,9,FALSE)*1.2)),"")</f>
        <v/>
      </c>
      <c r="K15" s="135"/>
      <c r="L15" s="136"/>
      <c r="M15" s="136"/>
      <c r="N15" s="137"/>
    </row>
    <row r="16" spans="2:14" ht="22" customHeight="1" x14ac:dyDescent="0.35">
      <c r="B16" s="28"/>
      <c r="C16" s="28"/>
      <c r="D16" s="28"/>
      <c r="E16" s="29" t="str">
        <f t="shared" si="0"/>
        <v/>
      </c>
      <c r="F16" s="33" t="str">
        <f>IFERROR(IF(AND(B16="No",C16="SLP"),"Not Applicable",(VLOOKUP(E16,'Look Ups'!$AF$11:$AK$26,6,FALSE)*1.2)),"")</f>
        <v/>
      </c>
      <c r="G16" s="33" t="str">
        <f>IFERROR(IF(AND(B16="No",C16="SLP"),"We do not currently accept SLP Designs For Mains Schemes Where We Are Completing The Main Laying.",IF(B16="No","This comprises £"&amp;VLOOKUP(E16,'Look Ups'!$AF$11:$AK$26,6,FALSE)&amp;" in Application and Design Fees, a £217 Call Off Fee, a £46 Fire Consultation Fee and VAT at 20%.",IF(C16="Yorkshire Water","This comprises £"&amp;VLOOKUP(E16,'Look Ups'!$AF$11:$AK$26,6,FALSE)&amp;" in Application and Design Fees, a £217 Call Off Fee, a £42 Self Lay Agreement Fee, a £46 Fire Consultation Fee and VAT at 20%.","This comprises £"&amp;VLOOKUP(E16,'Look Ups'!$AF$11:$AK$26,6,FALSE)&amp;" in Application and Design Fees, a £217 Call Off Fee, a £42 Self Lay Agreement Fee and VAT at 20%"))),"")</f>
        <v/>
      </c>
      <c r="H16" s="33" t="str">
        <f>IFERROR(IF(AND(B16="No",C16="SLP"),"Not Applicable",(VLOOKUP(E16,'Look Ups'!$AF$11:$AM$26,8,FALSE)*1.2)),"")</f>
        <v/>
      </c>
      <c r="I16" s="33" t="str">
        <f>IFERROR(IF(AND(B16="No",C16="SLP"),"Not Applicable",(VLOOKUP(E16,'Look Ups'!$AF$11:$AN$26,9,FALSE)*1.2)),"")</f>
        <v/>
      </c>
      <c r="K16" s="135"/>
      <c r="L16" s="136"/>
      <c r="M16" s="136"/>
      <c r="N16" s="137"/>
    </row>
    <row r="17" spans="2:14" ht="22" customHeight="1" x14ac:dyDescent="0.35">
      <c r="B17" s="28"/>
      <c r="C17" s="28"/>
      <c r="D17" s="28"/>
      <c r="E17" s="29" t="str">
        <f t="shared" si="0"/>
        <v/>
      </c>
      <c r="F17" s="33" t="str">
        <f>IFERROR(IF(AND(B17="No",C17="SLP"),"Not Applicable",(VLOOKUP(E17,'Look Ups'!$AF$11:$AK$26,6,FALSE)*1.2)),"")</f>
        <v/>
      </c>
      <c r="G17" s="33" t="str">
        <f>IFERROR(IF(AND(B17="No",C17="SLP"),"We do not currently accept SLP Designs For Mains Schemes Where We Are Completing The Main Laying.",IF(B17="No","This comprises £"&amp;VLOOKUP(E17,'Look Ups'!$AF$11:$AK$26,6,FALSE)&amp;" in Application and Design Fees, a £217 Call Off Fee, a £46 Fire Consultation Fee and VAT at 20%.",IF(C17="Yorkshire Water","This comprises £"&amp;VLOOKUP(E17,'Look Ups'!$AF$11:$AK$26,6,FALSE)&amp;" in Application and Design Fees, a £217 Call Off Fee, a £42 Self Lay Agreement Fee, a £46 Fire Consultation Fee and VAT at 20%.","This comprises £"&amp;VLOOKUP(E17,'Look Ups'!$AF$11:$AK$26,6,FALSE)&amp;" in Application and Design Fees, a £217 Call Off Fee, a £42 Self Lay Agreement Fee and VAT at 20%"))),"")</f>
        <v/>
      </c>
      <c r="H17" s="33" t="str">
        <f>IFERROR(IF(AND(B17="No",C17="SLP"),"Not Applicable",(VLOOKUP(E17,'Look Ups'!$AF$11:$AM$26,8,FALSE)*1.2)),"")</f>
        <v/>
      </c>
      <c r="I17" s="33" t="str">
        <f>IFERROR(IF(AND(B17="No",C17="SLP"),"Not Applicable",(VLOOKUP(E17,'Look Ups'!$AF$11:$AN$26,9,FALSE)*1.2)),"")</f>
        <v/>
      </c>
      <c r="K17" s="135"/>
      <c r="L17" s="136"/>
      <c r="M17" s="136"/>
      <c r="N17" s="137"/>
    </row>
    <row r="18" spans="2:14" ht="22" customHeight="1" thickBot="1" x14ac:dyDescent="0.4">
      <c r="B18" s="28"/>
      <c r="C18" s="28"/>
      <c r="D18" s="28"/>
      <c r="E18" s="29" t="str">
        <f t="shared" si="0"/>
        <v/>
      </c>
      <c r="F18" s="33" t="str">
        <f>IFERROR(IF(AND(B18="No",C18="SLP"),"Not Applicable",(VLOOKUP(E18,'Look Ups'!$AF$11:$AK$26,6,FALSE)*1.2)),"")</f>
        <v/>
      </c>
      <c r="G18" s="33" t="str">
        <f>IFERROR(IF(AND(B18="No",C18="SLP"),"We do not currently accept SLP Designs For Mains Schemes Where We Are Completing The Main Laying.",IF(B18="No","This comprises £"&amp;VLOOKUP(E18,'Look Ups'!$AF$11:$AK$26,6,FALSE)&amp;" in Application and Design Fees, a £217 Call Off Fee, a £46 Fire Consultation Fee and VAT at 20%.",IF(C18="Yorkshire Water","This comprises £"&amp;VLOOKUP(E18,'Look Ups'!$AF$11:$AK$26,6,FALSE)&amp;" in Application and Design Fees, a £217 Call Off Fee, a £42 Self Lay Agreement Fee, a £46 Fire Consultation Fee and VAT at 20%.","This comprises £"&amp;VLOOKUP(E18,'Look Ups'!$AF$11:$AK$26,6,FALSE)&amp;" in Application and Design Fees, a £217 Call Off Fee, a £42 Self Lay Agreement Fee and VAT at 20%"))),"")</f>
        <v/>
      </c>
      <c r="H18" s="33" t="str">
        <f>IFERROR(IF(AND(B18="No",C18="SLP"),"Not Applicable",(VLOOKUP(E18,'Look Ups'!$AF$11:$AM$26,8,FALSE)*1.2)),"")</f>
        <v/>
      </c>
      <c r="I18" s="33" t="str">
        <f>IFERROR(IF(AND(B18="No",C18="SLP"),"Not Applicable",(VLOOKUP(E18,'Look Ups'!$AF$11:$AN$26,9,FALSE)*1.2)),"")</f>
        <v/>
      </c>
      <c r="K18" s="138"/>
      <c r="L18" s="139"/>
      <c r="M18" s="139"/>
      <c r="N18" s="140"/>
    </row>
    <row r="19" spans="2:14" ht="22" customHeight="1" x14ac:dyDescent="0.35">
      <c r="B19" s="28"/>
      <c r="C19" s="28"/>
      <c r="D19" s="28"/>
      <c r="E19" s="29" t="str">
        <f t="shared" si="0"/>
        <v/>
      </c>
      <c r="F19" s="33" t="str">
        <f>IFERROR(IF(AND(B19="No",C19="SLP"),"Not Applicable",(VLOOKUP(E19,'Look Ups'!$AF$11:$AK$26,6,FALSE)*1.2)),"")</f>
        <v/>
      </c>
      <c r="G19" s="33" t="str">
        <f>IFERROR(IF(AND(B19="No",C19="SLP"),"We do not currently accept SLP Designs For Mains Schemes Where We Are Completing The Main Laying.",IF(B19="No","This comprises £"&amp;VLOOKUP(E19,'Look Ups'!$AF$11:$AK$26,6,FALSE)&amp;" in Application and Design Fees, a £217 Call Off Fee, a £46 Fire Consultation Fee and VAT at 20%.",IF(C19="Yorkshire Water","This comprises £"&amp;VLOOKUP(E19,'Look Ups'!$AF$11:$AK$26,6,FALSE)&amp;" in Application and Design Fees, a £217 Call Off Fee, a £42 Self Lay Agreement Fee, a £46 Fire Consultation Fee and VAT at 20%.","This comprises £"&amp;VLOOKUP(E19,'Look Ups'!$AF$11:$AK$26,6,FALSE)&amp;" in Application and Design Fees, a £217 Call Off Fee, a £42 Self Lay Agreement Fee and VAT at 20%"))),"")</f>
        <v/>
      </c>
      <c r="H19" s="33" t="str">
        <f>IFERROR(IF(AND(B19="No",C19="SLP"),"Not Applicable",(VLOOKUP(E19,'Look Ups'!$AF$11:$AM$26,8,FALSE)*1.2)),"")</f>
        <v/>
      </c>
      <c r="I19" s="33" t="str">
        <f>IFERROR(IF(AND(B19="No",C19="SLP"),"Not Applicable",(VLOOKUP(E19,'Look Ups'!$AF$11:$AN$26,9,FALSE)*1.2)),"")</f>
        <v/>
      </c>
      <c r="K19" s="141" t="s">
        <v>199</v>
      </c>
      <c r="L19" s="142"/>
      <c r="M19" s="142"/>
      <c r="N19" s="143"/>
    </row>
    <row r="20" spans="2:14" ht="22" customHeight="1" x14ac:dyDescent="0.35">
      <c r="B20" s="28"/>
      <c r="C20" s="28"/>
      <c r="D20" s="28"/>
      <c r="E20" s="29" t="str">
        <f t="shared" si="0"/>
        <v/>
      </c>
      <c r="F20" s="33" t="str">
        <f>IFERROR(IF(AND(B20="No",C20="SLP"),"Not Applicable",(VLOOKUP(E20,'Look Ups'!$AF$11:$AK$26,6,FALSE)*1.2)),"")</f>
        <v/>
      </c>
      <c r="G20" s="33" t="str">
        <f>IFERROR(IF(AND(B20="No",C20="SLP"),"We do not currently accept SLP Designs For Mains Schemes Where We Are Completing The Main Laying.",IF(B20="No","This comprises £"&amp;VLOOKUP(E20,'Look Ups'!$AF$11:$AK$26,6,FALSE)&amp;" in Application and Design Fees, a £217 Call Off Fee, a £46 Fire Consultation Fee and VAT at 20%.",IF(C20="Yorkshire Water","This comprises £"&amp;VLOOKUP(E20,'Look Ups'!$AF$11:$AK$26,6,FALSE)&amp;" in Application and Design Fees, a £217 Call Off Fee, a £42 Self Lay Agreement Fee, a £46 Fire Consultation Fee and VAT at 20%.","This comprises £"&amp;VLOOKUP(E20,'Look Ups'!$AF$11:$AK$26,6,FALSE)&amp;" in Application and Design Fees, a £217 Call Off Fee, a £42 Self Lay Agreement Fee and VAT at 20%"))),"")</f>
        <v/>
      </c>
      <c r="H20" s="33" t="str">
        <f>IFERROR(IF(AND(B20="No",C20="SLP"),"Not Applicable",(VLOOKUP(E20,'Look Ups'!$AF$11:$AM$26,8,FALSE)*1.2)),"")</f>
        <v/>
      </c>
      <c r="I20" s="33" t="str">
        <f>IFERROR(IF(AND(B20="No",C20="SLP"),"Not Applicable",(VLOOKUP(E20,'Look Ups'!$AF$11:$AN$26,9,FALSE)*1.2)),"")</f>
        <v/>
      </c>
      <c r="K20" s="141"/>
      <c r="L20" s="142"/>
      <c r="M20" s="142"/>
      <c r="N20" s="143"/>
    </row>
    <row r="21" spans="2:14" ht="22" customHeight="1" x14ac:dyDescent="0.35">
      <c r="B21" s="28"/>
      <c r="C21" s="28"/>
      <c r="D21" s="28"/>
      <c r="E21" s="29" t="str">
        <f t="shared" si="0"/>
        <v/>
      </c>
      <c r="F21" s="33" t="str">
        <f>IFERROR(IF(AND(B21="No",C21="SLP"),"Not Applicable",(VLOOKUP(E21,'Look Ups'!$AF$11:$AK$26,6,FALSE)*1.2)),"")</f>
        <v/>
      </c>
      <c r="G21" s="33" t="str">
        <f>IFERROR(IF(AND(B21="No",C21="SLP"),"We do not currently accept SLP Designs For Mains Schemes Where We Are Completing The Main Laying.",IF(B21="No","This comprises £"&amp;VLOOKUP(E21,'Look Ups'!$AF$11:$AK$26,6,FALSE)&amp;" in Application and Design Fees, a £217 Call Off Fee, a £46 Fire Consultation Fee and VAT at 20%.",IF(C21="Yorkshire Water","This comprises £"&amp;VLOOKUP(E21,'Look Ups'!$AF$11:$AK$26,6,FALSE)&amp;" in Application and Design Fees, a £217 Call Off Fee, a £42 Self Lay Agreement Fee, a £46 Fire Consultation Fee and VAT at 20%.","This comprises £"&amp;VLOOKUP(E21,'Look Ups'!$AF$11:$AK$26,6,FALSE)&amp;" in Application and Design Fees, a £217 Call Off Fee, a £42 Self Lay Agreement Fee and VAT at 20%"))),"")</f>
        <v/>
      </c>
      <c r="H21" s="33" t="str">
        <f>IFERROR(IF(AND(B21="No",C21="SLP"),"Not Applicable",(VLOOKUP(E21,'Look Ups'!$AF$11:$AM$26,8,FALSE)*1.2)),"")</f>
        <v/>
      </c>
      <c r="I21" s="33" t="str">
        <f>IFERROR(IF(AND(B21="No",C21="SLP"),"Not Applicable",(VLOOKUP(E21,'Look Ups'!$AF$11:$AN$26,9,FALSE)*1.2)),"")</f>
        <v/>
      </c>
      <c r="K21" s="141"/>
      <c r="L21" s="142"/>
      <c r="M21" s="142"/>
      <c r="N21" s="143"/>
    </row>
    <row r="22" spans="2:14" ht="22" customHeight="1" thickBot="1" x14ac:dyDescent="0.4">
      <c r="B22" s="28"/>
      <c r="C22" s="28"/>
      <c r="D22" s="28"/>
      <c r="E22" s="29" t="str">
        <f t="shared" si="0"/>
        <v/>
      </c>
      <c r="F22" s="33" t="str">
        <f>IFERROR(IF(AND(B22="No",C22="SLP"),"Not Applicable",(VLOOKUP(E22,'Look Ups'!$AF$11:$AK$26,6,FALSE)*1.2)),"")</f>
        <v/>
      </c>
      <c r="G22" s="33" t="str">
        <f>IFERROR(IF(AND(B22="No",C22="SLP"),"We do not currently accept SLP Designs For Mains Schemes Where We Are Completing The Main Laying.",IF(B22="No","This comprises £"&amp;VLOOKUP(E22,'Look Ups'!$AF$11:$AK$26,6,FALSE)&amp;" in Application and Design Fees, a £217 Call Off Fee, a £46 Fire Consultation Fee and VAT at 20%.",IF(C22="Yorkshire Water","This comprises £"&amp;VLOOKUP(E22,'Look Ups'!$AF$11:$AK$26,6,FALSE)&amp;" in Application and Design Fees, a £217 Call Off Fee, a £42 Self Lay Agreement Fee, a £46 Fire Consultation Fee and VAT at 20%.","This comprises £"&amp;VLOOKUP(E22,'Look Ups'!$AF$11:$AK$26,6,FALSE)&amp;" in Application and Design Fees, a £217 Call Off Fee, a £42 Self Lay Agreement Fee and VAT at 20%"))),"")</f>
        <v/>
      </c>
      <c r="H22" s="33" t="str">
        <f>IFERROR(IF(AND(B22="No",C22="SLP"),"Not Applicable",(VLOOKUP(E22,'Look Ups'!$AF$11:$AM$26,8,FALSE)*1.2)),"")</f>
        <v/>
      </c>
      <c r="I22" s="33" t="str">
        <f>IFERROR(IF(AND(B22="No",C22="SLP"),"Not Applicable",(VLOOKUP(E22,'Look Ups'!$AF$11:$AN$26,9,FALSE)*1.2)),"")</f>
        <v/>
      </c>
      <c r="K22" s="144"/>
      <c r="L22" s="145"/>
      <c r="M22" s="145"/>
      <c r="N22" s="146"/>
    </row>
    <row r="23" spans="2:14" ht="15" thickTop="1" x14ac:dyDescent="0.35"/>
    <row r="24" spans="2:14" hidden="1" x14ac:dyDescent="0.35">
      <c r="B24" s="131"/>
      <c r="C24" s="131"/>
      <c r="D24" s="131"/>
      <c r="E24" s="131"/>
      <c r="F24" s="131"/>
      <c r="G24" s="131"/>
      <c r="H24" s="131"/>
      <c r="I24" s="131"/>
    </row>
    <row r="25" spans="2:14" hidden="1" x14ac:dyDescent="0.35">
      <c r="B25" s="131"/>
      <c r="C25" s="131"/>
      <c r="D25" s="131"/>
      <c r="E25" s="131"/>
      <c r="F25" s="131"/>
      <c r="G25" s="131"/>
      <c r="H25" s="131"/>
      <c r="I25" s="131"/>
    </row>
    <row r="26" spans="2:14" hidden="1" x14ac:dyDescent="0.35">
      <c r="B26" s="131"/>
      <c r="C26" s="131"/>
      <c r="D26" s="131"/>
      <c r="E26" s="131"/>
      <c r="F26" s="131"/>
      <c r="G26" s="131"/>
      <c r="H26" s="131"/>
      <c r="I26" s="131"/>
    </row>
    <row r="27" spans="2:14" hidden="1" x14ac:dyDescent="0.35">
      <c r="B27" s="131"/>
      <c r="C27" s="131"/>
      <c r="D27" s="131"/>
      <c r="E27" s="131"/>
      <c r="F27" s="131"/>
      <c r="G27" s="131"/>
      <c r="H27" s="131"/>
      <c r="I27" s="131"/>
    </row>
    <row r="28" spans="2:14" hidden="1" x14ac:dyDescent="0.35">
      <c r="B28" s="131"/>
      <c r="C28" s="131"/>
      <c r="D28" s="131"/>
      <c r="E28" s="131"/>
      <c r="F28" s="131"/>
      <c r="G28" s="131"/>
      <c r="H28" s="131"/>
      <c r="I28" s="131"/>
    </row>
    <row r="29" spans="2:14" hidden="1" x14ac:dyDescent="0.35">
      <c r="B29" s="131"/>
      <c r="C29" s="131"/>
      <c r="D29" s="131"/>
      <c r="E29" s="131"/>
      <c r="F29" s="131"/>
      <c r="G29" s="131"/>
      <c r="H29" s="131"/>
      <c r="I29" s="131"/>
    </row>
  </sheetData>
  <sheetProtection algorithmName="SHA-512" hashValue="idYxIp4dJega6+XOey3U02EmfsjiTGgfxHS6TNdIkqvDxNb9qndTMQ0ccVbgQY9THa+MESqrrJWkkzLJhx+oVQ==" saltValue="sEiMb/wnMtJpPUXD1omVGQ==" spinCount="100000" sheet="1" objects="1" scenarios="1"/>
  <mergeCells count="4">
    <mergeCell ref="C2:I2"/>
    <mergeCell ref="B24:I29"/>
    <mergeCell ref="K4:N18"/>
    <mergeCell ref="K19:N22"/>
  </mergeCells>
  <conditionalFormatting sqref="F5:I22">
    <cfRule type="expression" dxfId="27" priority="1">
      <formula>$C$2="Please confirm your acceptance of the Terms of Use"</formula>
    </cfRule>
    <cfRule type="expression" dxfId="26" priority="2">
      <formula>$C$2="Please refer to Front Page"</formula>
    </cfRule>
  </conditionalFormatting>
  <hyperlinks>
    <hyperlink ref="K19:N22" r:id="rId1" display="New Connections Charging Arrangements" xr:uid="{51C01650-73D7-4D86-B540-12BD14B03139}"/>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EB1B6442-AB93-4958-B4D5-33CF65D47ABD}">
          <x14:formula1>
            <xm:f>Lists!$D$1:$D$2</xm:f>
          </x14:formula1>
          <xm:sqref>B5:B22</xm:sqref>
        </x14:dataValidation>
        <x14:dataValidation type="list" allowBlank="1" showInputMessage="1" showErrorMessage="1" xr:uid="{691AF6DB-CAB9-4DB0-BF23-B8A1AB914FC2}">
          <x14:formula1>
            <xm:f>Lists!$E$1:$E$2</xm:f>
          </x14:formula1>
          <xm:sqref>C5:C22</xm:sqref>
        </x14:dataValidation>
        <x14:dataValidation type="list" allowBlank="1" showInputMessage="1" showErrorMessage="1" xr:uid="{0C31A42D-D4FF-4F9D-B011-57436AE1692F}">
          <x14:formula1>
            <xm:f>Lists!$F$1:$F$4</xm:f>
          </x14:formula1>
          <xm:sqref>D5:D22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B5150-30B5-4667-9200-963751A8C995}">
  <sheetPr codeName="Sheet5">
    <tabColor theme="9" tint="0.39997558519241921"/>
  </sheetPr>
  <dimension ref="A1:R23"/>
  <sheetViews>
    <sheetView showGridLines="0" showRowColHeaders="0" workbookViewId="0">
      <selection activeCell="E5" sqref="E5"/>
    </sheetView>
  </sheetViews>
  <sheetFormatPr defaultColWidth="0" defaultRowHeight="14.5" zeroHeight="1" x14ac:dyDescent="0.35"/>
  <cols>
    <col min="1" max="1" width="3.453125" style="10" customWidth="1"/>
    <col min="2" max="2" width="22.7265625" style="10" customWidth="1"/>
    <col min="3" max="3" width="20.26953125" style="10" customWidth="1"/>
    <col min="4" max="4" width="19" style="10" customWidth="1"/>
    <col min="5" max="5" width="15.81640625" style="10" customWidth="1"/>
    <col min="6" max="6" width="23.453125" style="10" hidden="1" customWidth="1"/>
    <col min="7" max="7" width="34.26953125" style="10" customWidth="1"/>
    <col min="8" max="8" width="3.453125" style="10" customWidth="1"/>
    <col min="9" max="13" width="8.7265625" style="10" customWidth="1"/>
    <col min="14" max="18" width="0" style="10" hidden="1" customWidth="1"/>
    <col min="19" max="16384" width="8.7265625" style="10" hidden="1"/>
  </cols>
  <sheetData>
    <row r="1" spans="2:18" ht="14.5" customHeight="1" x14ac:dyDescent="0.35"/>
    <row r="2" spans="2:18" ht="21.5" x14ac:dyDescent="0.9">
      <c r="B2" s="22" t="s">
        <v>78</v>
      </c>
      <c r="C2" s="147" t="str">
        <f>IF(Lists!W6="LOCKED","Please confirm your acceptance of the Terms of Use",SUM(G5:G22))</f>
        <v>Please confirm your acceptance of the Terms of Use</v>
      </c>
      <c r="D2" s="147"/>
      <c r="E2" s="147"/>
      <c r="F2" s="147"/>
      <c r="G2" s="147"/>
    </row>
    <row r="3" spans="2:18" ht="14.5" customHeight="1" thickBot="1" x14ac:dyDescent="0.95">
      <c r="B3" s="13"/>
      <c r="C3" s="23"/>
      <c r="D3" s="13"/>
      <c r="E3" s="13"/>
      <c r="F3" s="13"/>
      <c r="G3" s="13"/>
    </row>
    <row r="4" spans="2:18" ht="21.65" customHeight="1" thickTop="1" x14ac:dyDescent="1.1499999999999999">
      <c r="B4" s="26" t="s">
        <v>210</v>
      </c>
      <c r="C4" s="26" t="s">
        <v>211</v>
      </c>
      <c r="D4" s="26" t="s">
        <v>212</v>
      </c>
      <c r="E4" s="26" t="s">
        <v>213</v>
      </c>
      <c r="F4" s="14" t="s">
        <v>7</v>
      </c>
      <c r="G4" s="27" t="s">
        <v>13</v>
      </c>
      <c r="I4" s="148" t="s">
        <v>215</v>
      </c>
      <c r="J4" s="149"/>
      <c r="K4" s="149"/>
      <c r="L4" s="150"/>
      <c r="M4" s="25"/>
      <c r="N4" s="25"/>
      <c r="O4" s="25"/>
      <c r="P4" s="25"/>
      <c r="Q4" s="25"/>
      <c r="R4" s="25"/>
    </row>
    <row r="5" spans="2:18" ht="22" customHeight="1" x14ac:dyDescent="1.1499999999999999">
      <c r="B5" s="28"/>
      <c r="C5" s="28"/>
      <c r="D5" s="28"/>
      <c r="E5" s="28"/>
      <c r="F5" s="29" t="str">
        <f>B5&amp;C5&amp;D5&amp;E5</f>
        <v/>
      </c>
      <c r="G5" s="34" t="str">
        <f>IFERROR(VLOOKUP(F5,'Look Ups'!D$11:E$58,2,FALSE),"")</f>
        <v/>
      </c>
      <c r="I5" s="151"/>
      <c r="J5" s="152"/>
      <c r="K5" s="152"/>
      <c r="L5" s="153"/>
      <c r="M5" s="25"/>
      <c r="N5" s="25"/>
      <c r="O5" s="25"/>
      <c r="P5" s="25"/>
      <c r="Q5" s="25"/>
      <c r="R5" s="25"/>
    </row>
    <row r="6" spans="2:18" ht="22" customHeight="1" x14ac:dyDescent="1.1499999999999999">
      <c r="B6" s="28"/>
      <c r="C6" s="28"/>
      <c r="D6" s="28"/>
      <c r="E6" s="28"/>
      <c r="F6" s="29" t="str">
        <f t="shared" ref="F6:F22" si="0">B6&amp;C6&amp;D6&amp;E6</f>
        <v/>
      </c>
      <c r="G6" s="34" t="str">
        <f>IFERROR(VLOOKUP(F6,'Look Ups'!D$11:E$58,2,FALSE),"")</f>
        <v/>
      </c>
      <c r="I6" s="151"/>
      <c r="J6" s="152"/>
      <c r="K6" s="152"/>
      <c r="L6" s="153"/>
      <c r="M6" s="25"/>
      <c r="N6" s="25"/>
      <c r="O6" s="25"/>
      <c r="P6" s="25"/>
      <c r="Q6" s="25"/>
      <c r="R6" s="25"/>
    </row>
    <row r="7" spans="2:18" ht="22" customHeight="1" x14ac:dyDescent="1.1499999999999999">
      <c r="B7" s="28"/>
      <c r="C7" s="28"/>
      <c r="D7" s="28"/>
      <c r="E7" s="28"/>
      <c r="F7" s="29" t="str">
        <f t="shared" si="0"/>
        <v/>
      </c>
      <c r="G7" s="34" t="str">
        <f>IFERROR(VLOOKUP(F7,'Look Ups'!D$11:E$58,2,FALSE),"")</f>
        <v/>
      </c>
      <c r="I7" s="151"/>
      <c r="J7" s="152"/>
      <c r="K7" s="152"/>
      <c r="L7" s="153"/>
      <c r="M7" s="25"/>
      <c r="N7" s="25"/>
      <c r="O7" s="25"/>
      <c r="P7" s="25"/>
      <c r="Q7" s="25"/>
      <c r="R7" s="25"/>
    </row>
    <row r="8" spans="2:18" ht="22" customHeight="1" x14ac:dyDescent="1.1499999999999999">
      <c r="B8" s="28"/>
      <c r="C8" s="28"/>
      <c r="D8" s="28"/>
      <c r="E8" s="28"/>
      <c r="F8" s="29" t="str">
        <f t="shared" si="0"/>
        <v/>
      </c>
      <c r="G8" s="34" t="str">
        <f>IFERROR(VLOOKUP(F8,'Look Ups'!D$11:E$58,2,FALSE),"")</f>
        <v/>
      </c>
      <c r="I8" s="151"/>
      <c r="J8" s="152"/>
      <c r="K8" s="152"/>
      <c r="L8" s="153"/>
      <c r="M8" s="25"/>
      <c r="N8" s="25"/>
      <c r="O8" s="25"/>
      <c r="P8" s="25"/>
      <c r="Q8" s="25"/>
      <c r="R8" s="25"/>
    </row>
    <row r="9" spans="2:18" ht="22" customHeight="1" x14ac:dyDescent="1.1499999999999999">
      <c r="B9" s="28"/>
      <c r="C9" s="28"/>
      <c r="D9" s="28"/>
      <c r="E9" s="28"/>
      <c r="F9" s="29" t="str">
        <f t="shared" si="0"/>
        <v/>
      </c>
      <c r="G9" s="34" t="str">
        <f>IFERROR(VLOOKUP(F9,'Look Ups'!D$11:E$58,2,FALSE),"")</f>
        <v/>
      </c>
      <c r="I9" s="151"/>
      <c r="J9" s="152"/>
      <c r="K9" s="152"/>
      <c r="L9" s="153"/>
      <c r="M9" s="25"/>
      <c r="N9" s="25"/>
      <c r="O9" s="25"/>
      <c r="P9" s="25"/>
      <c r="Q9" s="25"/>
      <c r="R9" s="25"/>
    </row>
    <row r="10" spans="2:18" ht="22" customHeight="1" x14ac:dyDescent="1.1499999999999999">
      <c r="B10" s="28"/>
      <c r="C10" s="28"/>
      <c r="D10" s="28"/>
      <c r="E10" s="28"/>
      <c r="F10" s="29" t="str">
        <f t="shared" si="0"/>
        <v/>
      </c>
      <c r="G10" s="34" t="str">
        <f>IFERROR(VLOOKUP(F10,'Look Ups'!D$11:E$58,2,FALSE),"")</f>
        <v/>
      </c>
      <c r="I10" s="151"/>
      <c r="J10" s="152"/>
      <c r="K10" s="152"/>
      <c r="L10" s="153"/>
      <c r="M10" s="25"/>
      <c r="N10" s="25"/>
      <c r="O10" s="25"/>
      <c r="P10" s="25"/>
      <c r="Q10" s="25"/>
      <c r="R10" s="25"/>
    </row>
    <row r="11" spans="2:18" ht="22" customHeight="1" x14ac:dyDescent="1.1499999999999999">
      <c r="B11" s="28"/>
      <c r="C11" s="28"/>
      <c r="D11" s="28"/>
      <c r="E11" s="28"/>
      <c r="F11" s="29" t="str">
        <f t="shared" si="0"/>
        <v/>
      </c>
      <c r="G11" s="34" t="str">
        <f>IFERROR(VLOOKUP(F11,'Look Ups'!D$11:E$58,2,FALSE),"")</f>
        <v/>
      </c>
      <c r="I11" s="151"/>
      <c r="J11" s="152"/>
      <c r="K11" s="152"/>
      <c r="L11" s="153"/>
      <c r="M11" s="25"/>
      <c r="N11" s="25"/>
      <c r="O11" s="25"/>
      <c r="P11" s="25"/>
      <c r="Q11" s="25"/>
      <c r="R11" s="25"/>
    </row>
    <row r="12" spans="2:18" ht="22" customHeight="1" x14ac:dyDescent="1.1499999999999999">
      <c r="B12" s="28"/>
      <c r="C12" s="28"/>
      <c r="D12" s="28"/>
      <c r="E12" s="28"/>
      <c r="F12" s="29" t="str">
        <f t="shared" si="0"/>
        <v/>
      </c>
      <c r="G12" s="34" t="str">
        <f>IFERROR(VLOOKUP(F12,'Look Ups'!D$11:E$58,2,FALSE),"")</f>
        <v/>
      </c>
      <c r="I12" s="151"/>
      <c r="J12" s="152"/>
      <c r="K12" s="152"/>
      <c r="L12" s="153"/>
      <c r="M12" s="25"/>
      <c r="N12" s="25"/>
      <c r="O12" s="25"/>
      <c r="P12" s="25"/>
      <c r="Q12" s="25"/>
      <c r="R12" s="25"/>
    </row>
    <row r="13" spans="2:18" ht="22" customHeight="1" x14ac:dyDescent="1.1499999999999999">
      <c r="B13" s="28"/>
      <c r="C13" s="28"/>
      <c r="D13" s="28"/>
      <c r="E13" s="28"/>
      <c r="F13" s="29" t="str">
        <f t="shared" si="0"/>
        <v/>
      </c>
      <c r="G13" s="34" t="str">
        <f>IFERROR(VLOOKUP(F13,'Look Ups'!D$11:E$58,2,FALSE),"")</f>
        <v/>
      </c>
      <c r="I13" s="151"/>
      <c r="J13" s="152"/>
      <c r="K13" s="152"/>
      <c r="L13" s="153"/>
      <c r="M13" s="25"/>
      <c r="N13" s="25"/>
      <c r="O13" s="25"/>
      <c r="P13" s="25"/>
      <c r="Q13" s="25"/>
      <c r="R13" s="25"/>
    </row>
    <row r="14" spans="2:18" ht="22" customHeight="1" x14ac:dyDescent="1.1499999999999999">
      <c r="B14" s="28"/>
      <c r="C14" s="28"/>
      <c r="D14" s="28"/>
      <c r="E14" s="28"/>
      <c r="F14" s="29" t="str">
        <f t="shared" si="0"/>
        <v/>
      </c>
      <c r="G14" s="34" t="str">
        <f>IFERROR(VLOOKUP(F14,'Look Ups'!D$11:E$58,2,FALSE),"")</f>
        <v/>
      </c>
      <c r="I14" s="151"/>
      <c r="J14" s="152"/>
      <c r="K14" s="152"/>
      <c r="L14" s="153"/>
      <c r="M14" s="25"/>
      <c r="N14" s="25"/>
      <c r="O14" s="25"/>
      <c r="P14" s="25"/>
      <c r="Q14" s="25"/>
      <c r="R14" s="25"/>
    </row>
    <row r="15" spans="2:18" ht="22" customHeight="1" x14ac:dyDescent="1.1499999999999999">
      <c r="B15" s="28"/>
      <c r="C15" s="28"/>
      <c r="D15" s="28"/>
      <c r="E15" s="28"/>
      <c r="F15" s="29" t="str">
        <f t="shared" si="0"/>
        <v/>
      </c>
      <c r="G15" s="34" t="str">
        <f>IFERROR(VLOOKUP(F15,'Look Ups'!D$11:E$58,2,FALSE),"")</f>
        <v/>
      </c>
      <c r="I15" s="151"/>
      <c r="J15" s="152"/>
      <c r="K15" s="152"/>
      <c r="L15" s="153"/>
      <c r="M15" s="25"/>
      <c r="N15" s="25"/>
      <c r="O15" s="25"/>
      <c r="P15" s="25"/>
      <c r="Q15" s="25"/>
      <c r="R15" s="25"/>
    </row>
    <row r="16" spans="2:18" ht="22" customHeight="1" x14ac:dyDescent="1.1499999999999999">
      <c r="B16" s="28"/>
      <c r="C16" s="28"/>
      <c r="D16" s="28"/>
      <c r="E16" s="28"/>
      <c r="F16" s="29" t="str">
        <f t="shared" si="0"/>
        <v/>
      </c>
      <c r="G16" s="34" t="str">
        <f>IFERROR(VLOOKUP(F16,'Look Ups'!D$11:E$58,2,FALSE),"")</f>
        <v/>
      </c>
      <c r="I16" s="151"/>
      <c r="J16" s="152"/>
      <c r="K16" s="152"/>
      <c r="L16" s="153"/>
      <c r="M16" s="25"/>
      <c r="N16" s="25"/>
      <c r="O16" s="25"/>
      <c r="P16" s="25"/>
      <c r="Q16" s="25"/>
      <c r="R16" s="25"/>
    </row>
    <row r="17" spans="2:12" ht="22" customHeight="1" x14ac:dyDescent="0.35">
      <c r="B17" s="28"/>
      <c r="C17" s="28"/>
      <c r="D17" s="28"/>
      <c r="E17" s="28"/>
      <c r="F17" s="29" t="str">
        <f t="shared" si="0"/>
        <v/>
      </c>
      <c r="G17" s="34" t="str">
        <f>IFERROR(VLOOKUP(F17,'Look Ups'!D$11:E$58,2,FALSE),"")</f>
        <v/>
      </c>
      <c r="I17" s="151"/>
      <c r="J17" s="152"/>
      <c r="K17" s="152"/>
      <c r="L17" s="153"/>
    </row>
    <row r="18" spans="2:12" ht="22" customHeight="1" thickBot="1" x14ac:dyDescent="0.4">
      <c r="B18" s="28"/>
      <c r="C18" s="28"/>
      <c r="D18" s="28"/>
      <c r="E18" s="28"/>
      <c r="F18" s="29" t="str">
        <f t="shared" si="0"/>
        <v/>
      </c>
      <c r="G18" s="34" t="str">
        <f>IFERROR(VLOOKUP(F18,'Look Ups'!D$11:E$58,2,FALSE),"")</f>
        <v/>
      </c>
      <c r="I18" s="154"/>
      <c r="J18" s="155"/>
      <c r="K18" s="155"/>
      <c r="L18" s="156"/>
    </row>
    <row r="19" spans="2:12" ht="22" customHeight="1" thickTop="1" x14ac:dyDescent="0.35">
      <c r="B19" s="28"/>
      <c r="C19" s="28"/>
      <c r="D19" s="28"/>
      <c r="E19" s="28"/>
      <c r="F19" s="29" t="str">
        <f t="shared" si="0"/>
        <v/>
      </c>
      <c r="G19" s="34" t="str">
        <f>IFERROR(VLOOKUP(F19,'Look Ups'!D$11:E$58,2,FALSE),"")</f>
        <v/>
      </c>
    </row>
    <row r="20" spans="2:12" ht="22" customHeight="1" x14ac:dyDescent="0.35">
      <c r="B20" s="28"/>
      <c r="C20" s="28"/>
      <c r="D20" s="28"/>
      <c r="E20" s="28"/>
      <c r="F20" s="29" t="str">
        <f t="shared" si="0"/>
        <v/>
      </c>
      <c r="G20" s="34" t="str">
        <f>IFERROR(VLOOKUP(F20,'Look Ups'!D$11:E$58,2,FALSE),"")</f>
        <v/>
      </c>
    </row>
    <row r="21" spans="2:12" ht="22" customHeight="1" x14ac:dyDescent="0.35">
      <c r="B21" s="28"/>
      <c r="C21" s="28"/>
      <c r="D21" s="28"/>
      <c r="E21" s="28"/>
      <c r="F21" s="29" t="str">
        <f t="shared" si="0"/>
        <v/>
      </c>
      <c r="G21" s="34" t="str">
        <f>IFERROR(VLOOKUP(F21,'Look Ups'!D$11:E$58,2,FALSE),"")</f>
        <v/>
      </c>
    </row>
    <row r="22" spans="2:12" ht="22" customHeight="1" x14ac:dyDescent="0.35">
      <c r="B22" s="28"/>
      <c r="C22" s="28"/>
      <c r="D22" s="28"/>
      <c r="E22" s="28"/>
      <c r="F22" s="29" t="str">
        <f t="shared" si="0"/>
        <v/>
      </c>
      <c r="G22" s="34" t="str">
        <f>IFERROR(VLOOKUP(F22,'Look Ups'!D$11:E$58,2,FALSE),"")</f>
        <v/>
      </c>
    </row>
    <row r="23" spans="2:12" x14ac:dyDescent="0.35"/>
  </sheetData>
  <sheetProtection algorithmName="SHA-512" hashValue="o559p6ZMAfUDf/m4rIq3cKapjXtire5i+JaBeEEps22RRpuSpvSYZakL8uwlsNLAQXbdnEeuD/D/YHol90rtjQ==" saltValue="NhOSgkMb5B7W8Skt33LaCQ==" spinCount="100000" sheet="1" objects="1" scenarios="1"/>
  <mergeCells count="2">
    <mergeCell ref="C2:G2"/>
    <mergeCell ref="I4:L18"/>
  </mergeCells>
  <conditionalFormatting sqref="G5:G22">
    <cfRule type="expression" dxfId="25" priority="1">
      <formula>$C$2="Please confirm your acceptance of the Terms of Use"</formula>
    </cfRule>
    <cfRule type="expression" dxfId="24" priority="2">
      <formula>$C$2="Please refer to Front Page"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FA8975E-FE7C-4271-8D18-16A857F6E418}">
          <x14:formula1>
            <xm:f>Lists!$A$1:$A$2</xm:f>
          </x14:formula1>
          <xm:sqref>B5:B1048576</xm:sqref>
        </x14:dataValidation>
        <x14:dataValidation type="list" allowBlank="1" showInputMessage="1" showErrorMessage="1" xr:uid="{E97D27F9-36EF-441B-93E5-6088DE04A759}">
          <x14:formula1>
            <xm:f>Lists!$B$1:$B$3</xm:f>
          </x14:formula1>
          <xm:sqref>C5:C1048576</xm:sqref>
        </x14:dataValidation>
        <x14:dataValidation type="list" allowBlank="1" showInputMessage="1" showErrorMessage="1" xr:uid="{E0CEE90E-73BB-4D23-9BA4-B5C021E94A8E}">
          <x14:formula1>
            <xm:f>Lists!$C$1:$C$4</xm:f>
          </x14:formula1>
          <xm:sqref>E23:E1048576 D5:D1048576</xm:sqref>
        </x14:dataValidation>
        <x14:dataValidation type="list" allowBlank="1" showInputMessage="1" showErrorMessage="1" xr:uid="{47CE80C4-02E8-45AC-A8D1-FE445A75B10C}">
          <x14:formula1>
            <xm:f>Lists!$D$1:$D$2</xm:f>
          </x14:formula1>
          <xm:sqref>E5:E22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AA2FB-2DE9-4F5D-9DBA-659CBC35FA07}">
  <sheetPr codeName="Sheet6">
    <tabColor theme="9" tint="0.39997558519241921"/>
  </sheetPr>
  <dimension ref="A1:X23"/>
  <sheetViews>
    <sheetView showGridLines="0" showRowColHeaders="0" workbookViewId="0">
      <selection activeCell="F5" sqref="F5"/>
    </sheetView>
  </sheetViews>
  <sheetFormatPr defaultColWidth="0" defaultRowHeight="21.5" zeroHeight="1" x14ac:dyDescent="0.9"/>
  <cols>
    <col min="1" max="1" width="3.453125" style="13" customWidth="1"/>
    <col min="2" max="2" width="22.81640625" style="13" customWidth="1"/>
    <col min="3" max="3" width="18.7265625" style="13" customWidth="1"/>
    <col min="4" max="4" width="19" style="13" customWidth="1"/>
    <col min="5" max="5" width="18.1796875" style="13" customWidth="1"/>
    <col min="6" max="6" width="11" style="13" customWidth="1"/>
    <col min="7" max="7" width="9.7265625" style="13" hidden="1" customWidth="1"/>
    <col min="8" max="8" width="13.54296875" style="13" hidden="1" customWidth="1"/>
    <col min="9" max="9" width="20.54296875" style="13" hidden="1" customWidth="1"/>
    <col min="10" max="10" width="35.453125" style="13" customWidth="1"/>
    <col min="11" max="11" width="3.453125" style="13" customWidth="1"/>
    <col min="12" max="16" width="8.7265625" style="13" customWidth="1"/>
    <col min="17" max="24" width="0" style="13" hidden="1" customWidth="1"/>
    <col min="25" max="16384" width="8.7265625" style="13" hidden="1"/>
  </cols>
  <sheetData>
    <row r="1" spans="2:24" ht="14.5" customHeight="1" x14ac:dyDescent="0.9"/>
    <row r="2" spans="2:24" x14ac:dyDescent="0.9">
      <c r="B2" s="32" t="s">
        <v>79</v>
      </c>
      <c r="C2" s="157" t="str">
        <f>IF(Lists!W6="LOCKED","Please confirm your acceptance of the Terms of Use",SUM(J5:J22))</f>
        <v>Please confirm your acceptance of the Terms of Use</v>
      </c>
      <c r="D2" s="157"/>
      <c r="E2" s="157"/>
      <c r="F2" s="157"/>
      <c r="G2" s="157"/>
      <c r="H2" s="157"/>
      <c r="I2" s="157"/>
      <c r="J2" s="157"/>
    </row>
    <row r="3" spans="2:24" ht="14.5" customHeight="1" thickBot="1" x14ac:dyDescent="0.95">
      <c r="B3" s="30"/>
      <c r="C3" s="31"/>
      <c r="D3" s="30"/>
      <c r="E3" s="30"/>
      <c r="F3" s="30"/>
      <c r="G3" s="30"/>
      <c r="H3" s="30"/>
      <c r="I3" s="30"/>
      <c r="J3" s="30"/>
    </row>
    <row r="4" spans="2:24" ht="22" thickTop="1" x14ac:dyDescent="0.9">
      <c r="B4" s="35" t="s">
        <v>210</v>
      </c>
      <c r="C4" s="35" t="s">
        <v>211</v>
      </c>
      <c r="D4" s="35" t="s">
        <v>212</v>
      </c>
      <c r="E4" s="35" t="s">
        <v>214</v>
      </c>
      <c r="F4" s="35" t="s">
        <v>15</v>
      </c>
      <c r="G4" s="29" t="s">
        <v>14</v>
      </c>
      <c r="H4" s="29" t="s">
        <v>18</v>
      </c>
      <c r="I4" s="29" t="s">
        <v>67</v>
      </c>
      <c r="J4" s="27" t="s">
        <v>13</v>
      </c>
      <c r="L4" s="148" t="s">
        <v>216</v>
      </c>
      <c r="M4" s="158"/>
      <c r="N4" s="158"/>
      <c r="O4" s="159"/>
    </row>
    <row r="5" spans="2:24" ht="22" customHeight="1" x14ac:dyDescent="1.1499999999999999">
      <c r="B5" s="36"/>
      <c r="C5" s="36"/>
      <c r="D5" s="36"/>
      <c r="E5" s="36"/>
      <c r="F5" s="36"/>
      <c r="G5" s="29" t="str">
        <f>B5&amp;C5&amp;D5&amp;E5</f>
        <v/>
      </c>
      <c r="H5" s="29" t="str">
        <f>IFERROR(VLOOKUP(G5,'Look Ups'!I$11:J$58,2,FALSE),"")</f>
        <v/>
      </c>
      <c r="I5" s="29" t="str">
        <f>IFERROR(VLOOKUP(G5,'Look Ups'!I$11:K$58,3,FALSE),"")</f>
        <v/>
      </c>
      <c r="J5" s="33" t="str">
        <f>IFERROR((F5*H5)+(F5*I5),"")</f>
        <v/>
      </c>
      <c r="L5" s="160"/>
      <c r="M5" s="161"/>
      <c r="N5" s="161"/>
      <c r="O5" s="162"/>
      <c r="P5" s="25"/>
      <c r="Q5" s="25"/>
      <c r="R5" s="25"/>
      <c r="S5" s="25"/>
      <c r="T5" s="25"/>
      <c r="U5" s="25"/>
      <c r="V5" s="25"/>
      <c r="W5" s="25"/>
      <c r="X5" s="25"/>
    </row>
    <row r="6" spans="2:24" ht="22" customHeight="1" x14ac:dyDescent="1.1499999999999999">
      <c r="B6" s="36"/>
      <c r="C6" s="36"/>
      <c r="D6" s="36"/>
      <c r="E6" s="36"/>
      <c r="F6" s="36"/>
      <c r="G6" s="29" t="str">
        <f t="shared" ref="G6:G22" si="0">B6&amp;C6&amp;D6&amp;E6</f>
        <v/>
      </c>
      <c r="H6" s="29" t="str">
        <f>IFERROR(VLOOKUP(G6,'Look Ups'!I$11:J$58,2,FALSE),"")</f>
        <v/>
      </c>
      <c r="I6" s="29" t="str">
        <f>IFERROR(VLOOKUP(G6,'Look Ups'!I$11:K$58,3,FALSE),"")</f>
        <v/>
      </c>
      <c r="J6" s="33" t="str">
        <f t="shared" ref="J6:J22" si="1">IFERROR((F6*H6)+(F6*I6),"")</f>
        <v/>
      </c>
      <c r="L6" s="160"/>
      <c r="M6" s="161"/>
      <c r="N6" s="161"/>
      <c r="O6" s="162"/>
      <c r="P6" s="25"/>
      <c r="Q6" s="25"/>
      <c r="R6" s="25"/>
      <c r="S6" s="25"/>
      <c r="T6" s="25"/>
      <c r="U6" s="25"/>
      <c r="V6" s="25"/>
      <c r="W6" s="25"/>
      <c r="X6" s="25"/>
    </row>
    <row r="7" spans="2:24" ht="22" customHeight="1" x14ac:dyDescent="1.1499999999999999">
      <c r="B7" s="36"/>
      <c r="C7" s="36"/>
      <c r="D7" s="36"/>
      <c r="E7" s="36"/>
      <c r="F7" s="36"/>
      <c r="G7" s="29" t="str">
        <f t="shared" si="0"/>
        <v/>
      </c>
      <c r="H7" s="29" t="str">
        <f>IFERROR(VLOOKUP(G7,'Look Ups'!I$11:J$58,2,FALSE),"")</f>
        <v/>
      </c>
      <c r="I7" s="29" t="str">
        <f>IFERROR(VLOOKUP(G7,'Look Ups'!I$11:K$58,3,FALSE),"")</f>
        <v/>
      </c>
      <c r="J7" s="33" t="str">
        <f t="shared" si="1"/>
        <v/>
      </c>
      <c r="L7" s="160"/>
      <c r="M7" s="161"/>
      <c r="N7" s="161"/>
      <c r="O7" s="162"/>
      <c r="P7" s="25"/>
      <c r="Q7" s="25"/>
      <c r="R7" s="25"/>
      <c r="S7" s="25"/>
      <c r="T7" s="25"/>
      <c r="U7" s="25"/>
      <c r="V7" s="25"/>
      <c r="W7" s="25"/>
      <c r="X7" s="25"/>
    </row>
    <row r="8" spans="2:24" ht="22" customHeight="1" x14ac:dyDescent="1.1499999999999999">
      <c r="B8" s="36"/>
      <c r="C8" s="36"/>
      <c r="D8" s="36"/>
      <c r="E8" s="36"/>
      <c r="F8" s="36"/>
      <c r="G8" s="29" t="str">
        <f t="shared" si="0"/>
        <v/>
      </c>
      <c r="H8" s="29" t="str">
        <f>IFERROR(VLOOKUP(G8,'Look Ups'!I$11:J$58,2,FALSE),"")</f>
        <v/>
      </c>
      <c r="I8" s="29" t="str">
        <f>IFERROR(VLOOKUP(G8,'Look Ups'!I$11:K$58,3,FALSE),"")</f>
        <v/>
      </c>
      <c r="J8" s="33" t="str">
        <f t="shared" si="1"/>
        <v/>
      </c>
      <c r="L8" s="160"/>
      <c r="M8" s="161"/>
      <c r="N8" s="161"/>
      <c r="O8" s="162"/>
      <c r="P8" s="25"/>
      <c r="Q8" s="25"/>
      <c r="R8" s="25"/>
      <c r="S8" s="25"/>
      <c r="T8" s="25"/>
      <c r="U8" s="25"/>
      <c r="V8" s="25"/>
      <c r="W8" s="25"/>
      <c r="X8" s="25"/>
    </row>
    <row r="9" spans="2:24" ht="22" customHeight="1" x14ac:dyDescent="1.1499999999999999">
      <c r="B9" s="36"/>
      <c r="C9" s="36"/>
      <c r="D9" s="36"/>
      <c r="E9" s="36"/>
      <c r="F9" s="36"/>
      <c r="G9" s="29" t="str">
        <f t="shared" si="0"/>
        <v/>
      </c>
      <c r="H9" s="29" t="str">
        <f>IFERROR(VLOOKUP(G9,'Look Ups'!I$11:J$58,2,FALSE),"")</f>
        <v/>
      </c>
      <c r="I9" s="29" t="str">
        <f>IFERROR(VLOOKUP(G9,'Look Ups'!I$11:K$58,3,FALSE),"")</f>
        <v/>
      </c>
      <c r="J9" s="33" t="str">
        <f t="shared" si="1"/>
        <v/>
      </c>
      <c r="L9" s="160"/>
      <c r="M9" s="161"/>
      <c r="N9" s="161"/>
      <c r="O9" s="162"/>
      <c r="P9" s="25"/>
      <c r="Q9" s="25"/>
      <c r="R9" s="25"/>
      <c r="S9" s="25"/>
      <c r="T9" s="25"/>
      <c r="U9" s="25"/>
      <c r="V9" s="25"/>
      <c r="W9" s="25"/>
      <c r="X9" s="25"/>
    </row>
    <row r="10" spans="2:24" ht="22" customHeight="1" x14ac:dyDescent="1.1499999999999999">
      <c r="B10" s="36"/>
      <c r="C10" s="36"/>
      <c r="D10" s="36"/>
      <c r="E10" s="36"/>
      <c r="F10" s="36"/>
      <c r="G10" s="29" t="str">
        <f t="shared" si="0"/>
        <v/>
      </c>
      <c r="H10" s="29" t="str">
        <f>IFERROR(VLOOKUP(G10,'Look Ups'!I$11:J$58,2,FALSE),"")</f>
        <v/>
      </c>
      <c r="I10" s="29" t="str">
        <f>IFERROR(VLOOKUP(G10,'Look Ups'!I$11:K$58,3,FALSE),"")</f>
        <v/>
      </c>
      <c r="J10" s="33" t="str">
        <f t="shared" si="1"/>
        <v/>
      </c>
      <c r="L10" s="160"/>
      <c r="M10" s="161"/>
      <c r="N10" s="161"/>
      <c r="O10" s="162"/>
      <c r="P10" s="25"/>
      <c r="Q10" s="25"/>
      <c r="R10" s="25"/>
      <c r="S10" s="25"/>
      <c r="T10" s="25"/>
      <c r="U10" s="25"/>
      <c r="V10" s="25"/>
      <c r="W10" s="25"/>
      <c r="X10" s="25"/>
    </row>
    <row r="11" spans="2:24" ht="22" customHeight="1" x14ac:dyDescent="1.1499999999999999">
      <c r="B11" s="36"/>
      <c r="C11" s="36"/>
      <c r="D11" s="36"/>
      <c r="E11" s="36"/>
      <c r="F11" s="36"/>
      <c r="G11" s="29" t="str">
        <f t="shared" si="0"/>
        <v/>
      </c>
      <c r="H11" s="29" t="str">
        <f>IFERROR(VLOOKUP(G11,'Look Ups'!I$11:J$58,2,FALSE),"")</f>
        <v/>
      </c>
      <c r="I11" s="29" t="str">
        <f>IFERROR(VLOOKUP(G11,'Look Ups'!I$11:K$58,3,FALSE),"")</f>
        <v/>
      </c>
      <c r="J11" s="33" t="str">
        <f t="shared" si="1"/>
        <v/>
      </c>
      <c r="L11" s="160"/>
      <c r="M11" s="161"/>
      <c r="N11" s="161"/>
      <c r="O11" s="162"/>
      <c r="P11" s="25"/>
      <c r="Q11" s="25"/>
      <c r="R11" s="25"/>
      <c r="S11" s="25"/>
      <c r="T11" s="25"/>
      <c r="U11" s="25"/>
      <c r="V11" s="25"/>
      <c r="W11" s="25"/>
      <c r="X11" s="25"/>
    </row>
    <row r="12" spans="2:24" ht="22" customHeight="1" x14ac:dyDescent="1.1499999999999999">
      <c r="B12" s="36"/>
      <c r="C12" s="36"/>
      <c r="D12" s="36"/>
      <c r="E12" s="36"/>
      <c r="F12" s="36"/>
      <c r="G12" s="29" t="str">
        <f t="shared" si="0"/>
        <v/>
      </c>
      <c r="H12" s="29" t="str">
        <f>IFERROR(VLOOKUP(G12,'Look Ups'!I$11:J$58,2,FALSE),"")</f>
        <v/>
      </c>
      <c r="I12" s="29" t="str">
        <f>IFERROR(VLOOKUP(G12,'Look Ups'!I$11:K$58,3,FALSE),"")</f>
        <v/>
      </c>
      <c r="J12" s="33" t="str">
        <f t="shared" si="1"/>
        <v/>
      </c>
      <c r="L12" s="160"/>
      <c r="M12" s="161"/>
      <c r="N12" s="161"/>
      <c r="O12" s="162"/>
      <c r="P12" s="25"/>
      <c r="Q12" s="25"/>
      <c r="R12" s="25"/>
      <c r="S12" s="25"/>
      <c r="T12" s="25"/>
      <c r="U12" s="25"/>
      <c r="V12" s="25"/>
      <c r="W12" s="25"/>
      <c r="X12" s="25"/>
    </row>
    <row r="13" spans="2:24" ht="22" customHeight="1" x14ac:dyDescent="1.1499999999999999">
      <c r="B13" s="36"/>
      <c r="C13" s="36"/>
      <c r="D13" s="36"/>
      <c r="E13" s="36"/>
      <c r="F13" s="36"/>
      <c r="G13" s="29" t="str">
        <f t="shared" si="0"/>
        <v/>
      </c>
      <c r="H13" s="29" t="str">
        <f>IFERROR(VLOOKUP(G13,'Look Ups'!I$11:J$58,2,FALSE),"")</f>
        <v/>
      </c>
      <c r="I13" s="29" t="str">
        <f>IFERROR(VLOOKUP(G13,'Look Ups'!I$11:K$58,3,FALSE),"")</f>
        <v/>
      </c>
      <c r="J13" s="33" t="str">
        <f t="shared" si="1"/>
        <v/>
      </c>
      <c r="L13" s="160"/>
      <c r="M13" s="161"/>
      <c r="N13" s="161"/>
      <c r="O13" s="162"/>
      <c r="P13" s="25"/>
      <c r="Q13" s="25"/>
      <c r="R13" s="25"/>
      <c r="S13" s="25"/>
      <c r="T13" s="25"/>
      <c r="U13" s="25"/>
      <c r="V13" s="25"/>
      <c r="W13" s="25"/>
      <c r="X13" s="25"/>
    </row>
    <row r="14" spans="2:24" ht="22" customHeight="1" x14ac:dyDescent="1.1499999999999999">
      <c r="B14" s="36"/>
      <c r="C14" s="36"/>
      <c r="D14" s="36"/>
      <c r="E14" s="36"/>
      <c r="F14" s="36"/>
      <c r="G14" s="29" t="str">
        <f t="shared" si="0"/>
        <v/>
      </c>
      <c r="H14" s="29" t="str">
        <f>IFERROR(VLOOKUP(G14,'Look Ups'!I$11:J$58,2,FALSE),"")</f>
        <v/>
      </c>
      <c r="I14" s="29" t="str">
        <f>IFERROR(VLOOKUP(G14,'Look Ups'!I$11:K$58,3,FALSE),"")</f>
        <v/>
      </c>
      <c r="J14" s="33" t="str">
        <f t="shared" si="1"/>
        <v/>
      </c>
      <c r="L14" s="160"/>
      <c r="M14" s="161"/>
      <c r="N14" s="161"/>
      <c r="O14" s="162"/>
      <c r="P14" s="25"/>
      <c r="Q14" s="25"/>
      <c r="R14" s="25"/>
      <c r="S14" s="25"/>
      <c r="T14" s="25"/>
      <c r="U14" s="25"/>
      <c r="V14" s="25"/>
      <c r="W14" s="25"/>
      <c r="X14" s="25"/>
    </row>
    <row r="15" spans="2:24" ht="22" customHeight="1" x14ac:dyDescent="1.1499999999999999">
      <c r="B15" s="36"/>
      <c r="C15" s="36"/>
      <c r="D15" s="36"/>
      <c r="E15" s="36"/>
      <c r="F15" s="36"/>
      <c r="G15" s="29" t="str">
        <f t="shared" si="0"/>
        <v/>
      </c>
      <c r="H15" s="29" t="str">
        <f>IFERROR(VLOOKUP(G15,'Look Ups'!I$11:J$58,2,FALSE),"")</f>
        <v/>
      </c>
      <c r="I15" s="29" t="str">
        <f>IFERROR(VLOOKUP(G15,'Look Ups'!I$11:K$58,3,FALSE),"")</f>
        <v/>
      </c>
      <c r="J15" s="33" t="str">
        <f t="shared" si="1"/>
        <v/>
      </c>
      <c r="L15" s="160"/>
      <c r="M15" s="161"/>
      <c r="N15" s="161"/>
      <c r="O15" s="162"/>
      <c r="P15" s="25"/>
      <c r="Q15" s="25"/>
      <c r="R15" s="25"/>
      <c r="S15" s="25"/>
      <c r="T15" s="25"/>
      <c r="U15" s="25"/>
      <c r="V15" s="25"/>
      <c r="W15" s="25"/>
      <c r="X15" s="25"/>
    </row>
    <row r="16" spans="2:24" ht="22" customHeight="1" x14ac:dyDescent="1.1499999999999999">
      <c r="B16" s="36"/>
      <c r="C16" s="36"/>
      <c r="D16" s="36"/>
      <c r="E16" s="36"/>
      <c r="F16" s="36"/>
      <c r="G16" s="29" t="str">
        <f t="shared" si="0"/>
        <v/>
      </c>
      <c r="H16" s="29" t="str">
        <f>IFERROR(VLOOKUP(G16,'Look Ups'!I$11:J$58,2,FALSE),"")</f>
        <v/>
      </c>
      <c r="I16" s="29" t="str">
        <f>IFERROR(VLOOKUP(G16,'Look Ups'!I$11:K$58,3,FALSE),"")</f>
        <v/>
      </c>
      <c r="J16" s="33" t="str">
        <f t="shared" si="1"/>
        <v/>
      </c>
      <c r="L16" s="160"/>
      <c r="M16" s="161"/>
      <c r="N16" s="161"/>
      <c r="O16" s="162"/>
      <c r="P16" s="25"/>
      <c r="Q16" s="25"/>
      <c r="R16" s="25"/>
      <c r="S16" s="25"/>
      <c r="T16" s="25"/>
      <c r="U16" s="25"/>
      <c r="V16" s="25"/>
      <c r="W16" s="25"/>
      <c r="X16" s="25"/>
    </row>
    <row r="17" spans="2:24" ht="22" customHeight="1" x14ac:dyDescent="1.1499999999999999">
      <c r="B17" s="36"/>
      <c r="C17" s="36"/>
      <c r="D17" s="36"/>
      <c r="E17" s="36"/>
      <c r="F17" s="36"/>
      <c r="G17" s="29" t="str">
        <f t="shared" si="0"/>
        <v/>
      </c>
      <c r="H17" s="29" t="str">
        <f>IFERROR(VLOOKUP(G17,'Look Ups'!I$11:J$58,2,FALSE),"")</f>
        <v/>
      </c>
      <c r="I17" s="29" t="str">
        <f>IFERROR(VLOOKUP(G17,'Look Ups'!I$11:K$58,3,FALSE),"")</f>
        <v/>
      </c>
      <c r="J17" s="33" t="str">
        <f t="shared" si="1"/>
        <v/>
      </c>
      <c r="L17" s="160"/>
      <c r="M17" s="161"/>
      <c r="N17" s="161"/>
      <c r="O17" s="162"/>
      <c r="P17" s="25"/>
      <c r="Q17" s="25"/>
      <c r="R17" s="25"/>
      <c r="S17" s="25"/>
      <c r="T17" s="25"/>
      <c r="U17" s="25"/>
      <c r="V17" s="25"/>
      <c r="W17" s="25"/>
      <c r="X17" s="25"/>
    </row>
    <row r="18" spans="2:24" ht="22" customHeight="1" x14ac:dyDescent="1.1499999999999999">
      <c r="B18" s="36"/>
      <c r="C18" s="36"/>
      <c r="D18" s="36"/>
      <c r="E18" s="36"/>
      <c r="F18" s="36"/>
      <c r="G18" s="29" t="str">
        <f t="shared" si="0"/>
        <v/>
      </c>
      <c r="H18" s="29" t="str">
        <f>IFERROR(VLOOKUP(G18,'Look Ups'!I$11:J$58,2,FALSE),"")</f>
        <v/>
      </c>
      <c r="I18" s="29" t="str">
        <f>IFERROR(VLOOKUP(G18,'Look Ups'!I$11:K$58,3,FALSE),"")</f>
        <v/>
      </c>
      <c r="J18" s="33" t="str">
        <f t="shared" si="1"/>
        <v/>
      </c>
      <c r="L18" s="160"/>
      <c r="M18" s="161"/>
      <c r="N18" s="161"/>
      <c r="O18" s="162"/>
      <c r="P18" s="25"/>
      <c r="Q18" s="25"/>
      <c r="R18" s="25"/>
      <c r="S18" s="25"/>
      <c r="T18" s="25"/>
      <c r="U18" s="25"/>
      <c r="V18" s="25"/>
      <c r="W18" s="25"/>
      <c r="X18" s="25"/>
    </row>
    <row r="19" spans="2:24" ht="22" customHeight="1" x14ac:dyDescent="1.1499999999999999">
      <c r="B19" s="36"/>
      <c r="C19" s="36"/>
      <c r="D19" s="36"/>
      <c r="E19" s="36"/>
      <c r="F19" s="36"/>
      <c r="G19" s="29" t="str">
        <f t="shared" si="0"/>
        <v/>
      </c>
      <c r="H19" s="29" t="str">
        <f>IFERROR(VLOOKUP(G19,'Look Ups'!I$11:J$58,2,FALSE),"")</f>
        <v/>
      </c>
      <c r="I19" s="29" t="str">
        <f>IFERROR(VLOOKUP(G19,'Look Ups'!I$11:K$58,3,FALSE),"")</f>
        <v/>
      </c>
      <c r="J19" s="33" t="str">
        <f t="shared" si="1"/>
        <v/>
      </c>
      <c r="L19" s="160"/>
      <c r="M19" s="161"/>
      <c r="N19" s="161"/>
      <c r="O19" s="162"/>
      <c r="P19" s="25"/>
      <c r="Q19" s="25"/>
      <c r="R19" s="25"/>
      <c r="S19" s="25"/>
      <c r="T19" s="25"/>
      <c r="U19" s="25"/>
      <c r="V19" s="25"/>
      <c r="W19" s="25"/>
      <c r="X19" s="25"/>
    </row>
    <row r="20" spans="2:24" ht="22" customHeight="1" x14ac:dyDescent="1.1499999999999999">
      <c r="B20" s="36"/>
      <c r="C20" s="36"/>
      <c r="D20" s="36"/>
      <c r="E20" s="36"/>
      <c r="F20" s="36"/>
      <c r="G20" s="29" t="str">
        <f t="shared" si="0"/>
        <v/>
      </c>
      <c r="H20" s="29" t="str">
        <f>IFERROR(VLOOKUP(G20,'Look Ups'!I$11:J$58,2,FALSE),"")</f>
        <v/>
      </c>
      <c r="I20" s="29" t="str">
        <f>IFERROR(VLOOKUP(G20,'Look Ups'!I$11:K$58,3,FALSE),"")</f>
        <v/>
      </c>
      <c r="J20" s="33" t="str">
        <f t="shared" si="1"/>
        <v/>
      </c>
      <c r="L20" s="160"/>
      <c r="M20" s="161"/>
      <c r="N20" s="161"/>
      <c r="O20" s="162"/>
      <c r="P20" s="25"/>
      <c r="Q20" s="25"/>
      <c r="R20" s="25"/>
      <c r="S20" s="25"/>
      <c r="T20" s="25"/>
      <c r="U20" s="25"/>
      <c r="V20" s="25"/>
      <c r="W20" s="25"/>
      <c r="X20" s="25"/>
    </row>
    <row r="21" spans="2:24" ht="22" customHeight="1" x14ac:dyDescent="1.1499999999999999">
      <c r="B21" s="36"/>
      <c r="C21" s="36"/>
      <c r="D21" s="36"/>
      <c r="E21" s="36"/>
      <c r="F21" s="36"/>
      <c r="G21" s="29" t="str">
        <f t="shared" si="0"/>
        <v/>
      </c>
      <c r="H21" s="29" t="str">
        <f>IFERROR(VLOOKUP(G21,'Look Ups'!I$11:J$58,2,FALSE),"")</f>
        <v/>
      </c>
      <c r="I21" s="29" t="str">
        <f>IFERROR(VLOOKUP(G21,'Look Ups'!I$11:K$58,3,FALSE),"")</f>
        <v/>
      </c>
      <c r="J21" s="33" t="str">
        <f t="shared" si="1"/>
        <v/>
      </c>
      <c r="L21" s="160"/>
      <c r="M21" s="161"/>
      <c r="N21" s="161"/>
      <c r="O21" s="162"/>
      <c r="P21" s="25"/>
      <c r="Q21" s="25"/>
      <c r="R21" s="25"/>
      <c r="S21" s="25"/>
      <c r="T21" s="25"/>
      <c r="U21" s="25"/>
      <c r="V21" s="25"/>
      <c r="W21" s="25"/>
      <c r="X21" s="25"/>
    </row>
    <row r="22" spans="2:24" ht="22" customHeight="1" thickBot="1" x14ac:dyDescent="1.2">
      <c r="B22" s="36"/>
      <c r="C22" s="36"/>
      <c r="D22" s="36"/>
      <c r="E22" s="36"/>
      <c r="F22" s="36"/>
      <c r="G22" s="29" t="str">
        <f t="shared" si="0"/>
        <v/>
      </c>
      <c r="H22" s="29" t="str">
        <f>IFERROR(VLOOKUP(G22,'Look Ups'!I$11:J$58,2,FALSE),"")</f>
        <v/>
      </c>
      <c r="I22" s="29" t="str">
        <f>IFERROR(VLOOKUP(G22,'Look Ups'!I$11:K$58,3,FALSE),"")</f>
        <v/>
      </c>
      <c r="J22" s="33" t="str">
        <f t="shared" si="1"/>
        <v/>
      </c>
      <c r="L22" s="163"/>
      <c r="M22" s="164"/>
      <c r="N22" s="164"/>
      <c r="O22" s="165"/>
      <c r="P22" s="25"/>
      <c r="Q22" s="25"/>
      <c r="R22" s="25"/>
      <c r="S22" s="25"/>
      <c r="T22" s="25"/>
      <c r="U22" s="25"/>
      <c r="V22" s="25"/>
      <c r="W22" s="25"/>
      <c r="X22" s="25"/>
    </row>
    <row r="23" spans="2:24" ht="22" thickTop="1" x14ac:dyDescent="0.9"/>
  </sheetData>
  <sheetProtection algorithmName="SHA-512" hashValue="9n//qlo3qxo6wLDqYyNLSZ43YzO6ywt1Xnut4vVSWkj0FdjizKDXnF09o0Un7iuKr+KqGN6LHROLeFpYKHoG7Q==" saltValue="ZYs81ZZ+4VrJPBq3oIVW3Q==" spinCount="100000" sheet="1" objects="1" scenarios="1"/>
  <mergeCells count="2">
    <mergeCell ref="C2:J2"/>
    <mergeCell ref="L4:O22"/>
  </mergeCells>
  <conditionalFormatting sqref="J5:J22">
    <cfRule type="expression" dxfId="23" priority="1">
      <formula>$C$2="Please confirm your acceptance of the Terms of Use"</formula>
    </cfRule>
    <cfRule type="expression" dxfId="22" priority="3">
      <formula>$C$2="Please refer to Front Page"</formula>
    </cfRule>
  </conditionalFormatting>
  <dataValidations count="1">
    <dataValidation type="whole" allowBlank="1" showInputMessage="1" showErrorMessage="1" sqref="F5:F1048576" xr:uid="{E11D6EA9-8998-4B9C-BCAB-7454277050F8}">
      <formula1>1</formula1>
      <formula2>1000000000000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BC09248-E245-4E10-83A3-68E18C127CB9}">
          <x14:formula1>
            <xm:f>Lists!$A$1:$A$2</xm:f>
          </x14:formula1>
          <xm:sqref>B5:B1048576</xm:sqref>
        </x14:dataValidation>
        <x14:dataValidation type="list" allowBlank="1" showInputMessage="1" showErrorMessage="1" xr:uid="{4C198B14-FA62-4999-AB67-38D6B894A7EA}">
          <x14:formula1>
            <xm:f>Lists!$B$1:$B$3</xm:f>
          </x14:formula1>
          <xm:sqref>C5:C1048576</xm:sqref>
        </x14:dataValidation>
        <x14:dataValidation type="list" allowBlank="1" showInputMessage="1" showErrorMessage="1" xr:uid="{CB84065B-666A-4529-BFE4-AC3CB38187C2}">
          <x14:formula1>
            <xm:f>Lists!$C$1:$C$4</xm:f>
          </x14:formula1>
          <xm:sqref>D5:D1048576</xm:sqref>
        </x14:dataValidation>
        <x14:dataValidation type="list" allowBlank="1" showInputMessage="1" showErrorMessage="1" xr:uid="{88E6625C-0B45-4D94-8BA9-D56DA2906679}">
          <x14:formula1>
            <xm:f>Lists!$D$1:$D$2</xm:f>
          </x14:formula1>
          <xm:sqref>E5:E1048576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0D54-C5DE-424E-BBD2-FBD5C864C054}">
  <sheetPr codeName="Sheet7">
    <tabColor theme="9" tint="0.39997558519241921"/>
  </sheetPr>
  <dimension ref="A1:L23"/>
  <sheetViews>
    <sheetView showGridLines="0" showRowColHeaders="0" workbookViewId="0">
      <selection activeCell="C4" sqref="C4"/>
    </sheetView>
  </sheetViews>
  <sheetFormatPr defaultColWidth="0" defaultRowHeight="14.5" zeroHeight="1" x14ac:dyDescent="0.35"/>
  <cols>
    <col min="1" max="1" width="3.453125" style="10" customWidth="1"/>
    <col min="2" max="2" width="14.453125" style="10" customWidth="1"/>
    <col min="3" max="3" width="19.453125" style="10" customWidth="1"/>
    <col min="4" max="4" width="9.81640625" style="10" hidden="1" customWidth="1"/>
    <col min="5" max="5" width="53.453125" style="10" customWidth="1"/>
    <col min="6" max="6" width="3.453125" style="10" customWidth="1"/>
    <col min="7" max="11" width="8.7265625" style="10" customWidth="1"/>
    <col min="12" max="12" width="0" style="10" hidden="1" customWidth="1"/>
    <col min="13" max="16384" width="8.7265625" style="10" hidden="1"/>
  </cols>
  <sheetData>
    <row r="1" spans="2:12" ht="14.5" customHeight="1" x14ac:dyDescent="0.35"/>
    <row r="2" spans="2:12" ht="21.5" x14ac:dyDescent="0.9">
      <c r="B2" s="24" t="s">
        <v>80</v>
      </c>
      <c r="C2" s="147" t="str">
        <f>IF(Lists!W6="LOCKED","Please confirm your acceptance of the Terms of Use",SUM(E5:E22))</f>
        <v>Please confirm your acceptance of the Terms of Use</v>
      </c>
      <c r="D2" s="147"/>
      <c r="E2" s="147"/>
    </row>
    <row r="3" spans="2:12" ht="14.5" customHeight="1" thickBot="1" x14ac:dyDescent="0.95">
      <c r="B3" s="13"/>
      <c r="C3" s="23"/>
      <c r="D3" s="13"/>
      <c r="E3" s="13"/>
    </row>
    <row r="4" spans="2:12" ht="22" customHeight="1" thickTop="1" x14ac:dyDescent="0.35">
      <c r="B4" s="26" t="s">
        <v>0</v>
      </c>
      <c r="C4" s="35" t="s">
        <v>15</v>
      </c>
      <c r="D4" s="29" t="s">
        <v>73</v>
      </c>
      <c r="E4" s="27" t="s">
        <v>13</v>
      </c>
      <c r="G4" s="148" t="s">
        <v>217</v>
      </c>
      <c r="H4" s="158"/>
      <c r="I4" s="158"/>
      <c r="J4" s="159"/>
    </row>
    <row r="5" spans="2:12" ht="22" customHeight="1" x14ac:dyDescent="1.1499999999999999">
      <c r="B5" s="28"/>
      <c r="C5" s="36"/>
      <c r="D5" s="29" t="str">
        <f>IFERROR(VLOOKUP(B5,'Look Ups'!S$11:T$14,2,FALSE),"")</f>
        <v/>
      </c>
      <c r="E5" s="37" t="str">
        <f>IFERROR(IF(C5&gt;20,D5+((C5-20)*9),D5),"")</f>
        <v/>
      </c>
      <c r="G5" s="160"/>
      <c r="H5" s="161"/>
      <c r="I5" s="161"/>
      <c r="J5" s="162"/>
      <c r="L5" s="25"/>
    </row>
    <row r="6" spans="2:12" ht="22" customHeight="1" x14ac:dyDescent="1.1499999999999999">
      <c r="B6" s="28"/>
      <c r="C6" s="36"/>
      <c r="D6" s="29" t="str">
        <f>IFERROR(VLOOKUP(B6,'Look Ups'!S$11:T$14,2,FALSE),"")</f>
        <v/>
      </c>
      <c r="E6" s="37" t="str">
        <f t="shared" ref="E6:E22" si="0">IFERROR(IF(C6&gt;20,D6+((C6-20)*9),D6),"")</f>
        <v/>
      </c>
      <c r="G6" s="160"/>
      <c r="H6" s="161"/>
      <c r="I6" s="161"/>
      <c r="J6" s="162"/>
      <c r="L6" s="25"/>
    </row>
    <row r="7" spans="2:12" ht="22" customHeight="1" x14ac:dyDescent="1.1499999999999999">
      <c r="B7" s="28"/>
      <c r="C7" s="36"/>
      <c r="D7" s="29" t="str">
        <f>IFERROR(VLOOKUP(B7,'Look Ups'!S$11:T$14,2,FALSE),"")</f>
        <v/>
      </c>
      <c r="E7" s="37" t="str">
        <f t="shared" si="0"/>
        <v/>
      </c>
      <c r="G7" s="160"/>
      <c r="H7" s="161"/>
      <c r="I7" s="161"/>
      <c r="J7" s="162"/>
      <c r="L7" s="25"/>
    </row>
    <row r="8" spans="2:12" ht="22" customHeight="1" x14ac:dyDescent="1.1499999999999999">
      <c r="B8" s="28"/>
      <c r="C8" s="36"/>
      <c r="D8" s="29" t="str">
        <f>IFERROR(VLOOKUP(B8,'Look Ups'!S$11:T$14,2,FALSE),"")</f>
        <v/>
      </c>
      <c r="E8" s="37" t="str">
        <f t="shared" si="0"/>
        <v/>
      </c>
      <c r="G8" s="160"/>
      <c r="H8" s="161"/>
      <c r="I8" s="161"/>
      <c r="J8" s="162"/>
      <c r="L8" s="25"/>
    </row>
    <row r="9" spans="2:12" ht="22" customHeight="1" x14ac:dyDescent="1.1499999999999999">
      <c r="B9" s="28"/>
      <c r="C9" s="36"/>
      <c r="D9" s="29" t="str">
        <f>IFERROR(VLOOKUP(B9,'Look Ups'!S$11:T$14,2,FALSE),"")</f>
        <v/>
      </c>
      <c r="E9" s="37" t="str">
        <f t="shared" si="0"/>
        <v/>
      </c>
      <c r="G9" s="160"/>
      <c r="H9" s="161"/>
      <c r="I9" s="161"/>
      <c r="J9" s="162"/>
      <c r="L9" s="25"/>
    </row>
    <row r="10" spans="2:12" ht="22" customHeight="1" x14ac:dyDescent="1.1499999999999999">
      <c r="B10" s="28"/>
      <c r="C10" s="36"/>
      <c r="D10" s="29" t="str">
        <f>IFERROR(VLOOKUP(B10,'Look Ups'!S$11:T$14,2,FALSE),"")</f>
        <v/>
      </c>
      <c r="E10" s="37" t="str">
        <f t="shared" si="0"/>
        <v/>
      </c>
      <c r="G10" s="160"/>
      <c r="H10" s="161"/>
      <c r="I10" s="161"/>
      <c r="J10" s="162"/>
      <c r="L10" s="25"/>
    </row>
    <row r="11" spans="2:12" ht="22" customHeight="1" x14ac:dyDescent="1.1499999999999999">
      <c r="B11" s="28"/>
      <c r="C11" s="36"/>
      <c r="D11" s="29" t="str">
        <f>IFERROR(VLOOKUP(B11,'Look Ups'!S$11:T$14,2,FALSE),"")</f>
        <v/>
      </c>
      <c r="E11" s="37" t="str">
        <f t="shared" si="0"/>
        <v/>
      </c>
      <c r="G11" s="160"/>
      <c r="H11" s="161"/>
      <c r="I11" s="161"/>
      <c r="J11" s="162"/>
      <c r="L11" s="25"/>
    </row>
    <row r="12" spans="2:12" ht="22" customHeight="1" x14ac:dyDescent="1.1499999999999999">
      <c r="B12" s="28"/>
      <c r="C12" s="36"/>
      <c r="D12" s="29" t="str">
        <f>IFERROR(VLOOKUP(B12,'Look Ups'!S$11:T$14,2,FALSE),"")</f>
        <v/>
      </c>
      <c r="E12" s="37" t="str">
        <f t="shared" si="0"/>
        <v/>
      </c>
      <c r="G12" s="160"/>
      <c r="H12" s="161"/>
      <c r="I12" s="161"/>
      <c r="J12" s="162"/>
      <c r="L12" s="25"/>
    </row>
    <row r="13" spans="2:12" ht="22" customHeight="1" x14ac:dyDescent="1.1499999999999999">
      <c r="B13" s="28"/>
      <c r="C13" s="36"/>
      <c r="D13" s="29" t="str">
        <f>IFERROR(VLOOKUP(B13,'Look Ups'!S$11:T$14,2,FALSE),"")</f>
        <v/>
      </c>
      <c r="E13" s="37" t="str">
        <f t="shared" si="0"/>
        <v/>
      </c>
      <c r="G13" s="160"/>
      <c r="H13" s="161"/>
      <c r="I13" s="161"/>
      <c r="J13" s="162"/>
      <c r="L13" s="25"/>
    </row>
    <row r="14" spans="2:12" ht="22" customHeight="1" x14ac:dyDescent="1.1499999999999999">
      <c r="B14" s="28"/>
      <c r="C14" s="36"/>
      <c r="D14" s="29" t="str">
        <f>IFERROR(VLOOKUP(B14,'Look Ups'!S$11:T$14,2,FALSE),"")</f>
        <v/>
      </c>
      <c r="E14" s="37" t="str">
        <f t="shared" si="0"/>
        <v/>
      </c>
      <c r="G14" s="160"/>
      <c r="H14" s="161"/>
      <c r="I14" s="161"/>
      <c r="J14" s="162"/>
      <c r="L14" s="25"/>
    </row>
    <row r="15" spans="2:12" ht="22" customHeight="1" x14ac:dyDescent="1.1499999999999999">
      <c r="B15" s="28"/>
      <c r="C15" s="36"/>
      <c r="D15" s="29" t="str">
        <f>IFERROR(VLOOKUP(B15,'Look Ups'!S$11:T$14,2,FALSE),"")</f>
        <v/>
      </c>
      <c r="E15" s="37" t="str">
        <f t="shared" si="0"/>
        <v/>
      </c>
      <c r="G15" s="160"/>
      <c r="H15" s="161"/>
      <c r="I15" s="161"/>
      <c r="J15" s="162"/>
      <c r="L15" s="25"/>
    </row>
    <row r="16" spans="2:12" ht="22" customHeight="1" x14ac:dyDescent="1.1499999999999999">
      <c r="B16" s="28"/>
      <c r="C16" s="36"/>
      <c r="D16" s="29" t="str">
        <f>IFERROR(VLOOKUP(B16,'Look Ups'!S$11:T$14,2,FALSE),"")</f>
        <v/>
      </c>
      <c r="E16" s="37" t="str">
        <f t="shared" si="0"/>
        <v/>
      </c>
      <c r="G16" s="160"/>
      <c r="H16" s="161"/>
      <c r="I16" s="161"/>
      <c r="J16" s="162"/>
      <c r="L16" s="25"/>
    </row>
    <row r="17" spans="2:12" ht="22" customHeight="1" x14ac:dyDescent="1.1499999999999999">
      <c r="B17" s="28"/>
      <c r="C17" s="36"/>
      <c r="D17" s="29" t="str">
        <f>IFERROR(VLOOKUP(B17,'Look Ups'!S$11:T$14,2,FALSE),"")</f>
        <v/>
      </c>
      <c r="E17" s="37" t="str">
        <f t="shared" si="0"/>
        <v/>
      </c>
      <c r="G17" s="160"/>
      <c r="H17" s="161"/>
      <c r="I17" s="161"/>
      <c r="J17" s="162"/>
      <c r="L17" s="25"/>
    </row>
    <row r="18" spans="2:12" ht="22" customHeight="1" x14ac:dyDescent="1.1499999999999999">
      <c r="B18" s="28"/>
      <c r="C18" s="36"/>
      <c r="D18" s="29" t="str">
        <f>IFERROR(VLOOKUP(B18,'Look Ups'!S$11:T$14,2,FALSE),"")</f>
        <v/>
      </c>
      <c r="E18" s="37" t="str">
        <f t="shared" si="0"/>
        <v/>
      </c>
      <c r="G18" s="160"/>
      <c r="H18" s="161"/>
      <c r="I18" s="161"/>
      <c r="J18" s="162"/>
      <c r="L18" s="25"/>
    </row>
    <row r="19" spans="2:12" ht="22" customHeight="1" x14ac:dyDescent="1.1499999999999999">
      <c r="B19" s="28"/>
      <c r="C19" s="36"/>
      <c r="D19" s="29" t="str">
        <f>IFERROR(VLOOKUP(B19,'Look Ups'!S$11:T$14,2,FALSE),"")</f>
        <v/>
      </c>
      <c r="E19" s="37" t="str">
        <f t="shared" si="0"/>
        <v/>
      </c>
      <c r="G19" s="160"/>
      <c r="H19" s="161"/>
      <c r="I19" s="161"/>
      <c r="J19" s="162"/>
      <c r="L19" s="25"/>
    </row>
    <row r="20" spans="2:12" ht="22" customHeight="1" x14ac:dyDescent="1.1499999999999999">
      <c r="B20" s="28"/>
      <c r="C20" s="36"/>
      <c r="D20" s="29" t="str">
        <f>IFERROR(VLOOKUP(B20,'Look Ups'!S$11:T$14,2,FALSE),"")</f>
        <v/>
      </c>
      <c r="E20" s="37" t="str">
        <f t="shared" si="0"/>
        <v/>
      </c>
      <c r="G20" s="160"/>
      <c r="H20" s="161"/>
      <c r="I20" s="161"/>
      <c r="J20" s="162"/>
      <c r="L20" s="25"/>
    </row>
    <row r="21" spans="2:12" ht="22" customHeight="1" x14ac:dyDescent="1.1499999999999999">
      <c r="B21" s="28"/>
      <c r="C21" s="36"/>
      <c r="D21" s="29" t="str">
        <f>IFERROR(VLOOKUP(B21,'Look Ups'!S$11:T$14,2,FALSE),"")</f>
        <v/>
      </c>
      <c r="E21" s="37" t="str">
        <f t="shared" si="0"/>
        <v/>
      </c>
      <c r="G21" s="160"/>
      <c r="H21" s="161"/>
      <c r="I21" s="161"/>
      <c r="J21" s="162"/>
      <c r="L21" s="25"/>
    </row>
    <row r="22" spans="2:12" ht="22" customHeight="1" thickBot="1" x14ac:dyDescent="1.2">
      <c r="B22" s="28"/>
      <c r="C22" s="36"/>
      <c r="D22" s="29" t="str">
        <f>IFERROR(VLOOKUP(B22,'Look Ups'!S$11:T$14,2,FALSE),"")</f>
        <v/>
      </c>
      <c r="E22" s="37" t="str">
        <f t="shared" si="0"/>
        <v/>
      </c>
      <c r="G22" s="163"/>
      <c r="H22" s="164"/>
      <c r="I22" s="164"/>
      <c r="J22" s="165"/>
      <c r="L22" s="25"/>
    </row>
    <row r="23" spans="2:12" ht="15" thickTop="1" x14ac:dyDescent="0.35"/>
  </sheetData>
  <sheetProtection algorithmName="SHA-512" hashValue="74uUfIOmCBHRuGeh6D+G1SIMx4T6TMQuvNHnJOJlAAtlZSmPCo7ab7NhxfakiU/T0ISG9y5Fvb9cPkTgw7Wzcw==" saltValue="+fy6/hQkqBqAjGtjMZrF8Q==" spinCount="100000" sheet="1" objects="1" scenarios="1"/>
  <mergeCells count="2">
    <mergeCell ref="G4:J22"/>
    <mergeCell ref="C2:E2"/>
  </mergeCells>
  <conditionalFormatting sqref="E5:E22">
    <cfRule type="expression" dxfId="21" priority="1">
      <formula>$C$2="Please confirm your acceptance of the Terms of Use"</formula>
    </cfRule>
    <cfRule type="expression" dxfId="20" priority="3">
      <formula>$C$2="Please refer to Front Page"</formula>
    </cfRule>
  </conditionalFormatting>
  <dataValidations count="1">
    <dataValidation type="whole" allowBlank="1" showInputMessage="1" showErrorMessage="1" sqref="C5:C1048576" xr:uid="{FC045284-1581-48B4-9BC9-ADAF164A857B}">
      <formula1>1</formula1>
      <formula2>10000000000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EC4544D-5D6C-4DA6-BEA8-DC51F1D12C55}">
          <x14:formula1>
            <xm:f>Lists!$C$1:$C$4</xm:f>
          </x14:formula1>
          <xm:sqref>B5:B1048576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4BDB2-8141-4802-BA70-28BEA5B14DBA}">
  <sheetPr codeName="Sheet8">
    <tabColor theme="9" tint="0.39997558519241921"/>
  </sheetPr>
  <dimension ref="A1:K23"/>
  <sheetViews>
    <sheetView showGridLines="0" showRowColHeaders="0" workbookViewId="0">
      <selection activeCell="B5" sqref="B5"/>
    </sheetView>
  </sheetViews>
  <sheetFormatPr defaultColWidth="0" defaultRowHeight="14.5" zeroHeight="1" x14ac:dyDescent="0.35"/>
  <cols>
    <col min="1" max="1" width="3.453125" style="10" customWidth="1"/>
    <col min="2" max="2" width="23.453125" style="10" customWidth="1"/>
    <col min="3" max="3" width="18.54296875" style="10" customWidth="1"/>
    <col min="4" max="4" width="13.453125" style="10" hidden="1" customWidth="1"/>
    <col min="5" max="5" width="61.1796875" style="10" customWidth="1"/>
    <col min="6" max="6" width="3.453125" style="10" customWidth="1"/>
    <col min="7" max="11" width="8.7265625" style="10" customWidth="1"/>
    <col min="12" max="16384" width="8.7265625" style="10" hidden="1"/>
  </cols>
  <sheetData>
    <row r="1" spans="2:10" ht="14.5" customHeight="1" x14ac:dyDescent="0.35"/>
    <row r="2" spans="2:10" ht="21.5" x14ac:dyDescent="0.9">
      <c r="B2" s="22" t="s">
        <v>80</v>
      </c>
      <c r="C2" s="147" t="str">
        <f>IF(Lists!W6="LOCKED","Please confirm your acceptance of the Terms of Use",SUM(E4:E22))</f>
        <v>Please confirm your acceptance of the Terms of Use</v>
      </c>
      <c r="D2" s="147"/>
      <c r="E2" s="147"/>
    </row>
    <row r="3" spans="2:10" ht="14.5" customHeight="1" thickBot="1" x14ac:dyDescent="0.95">
      <c r="B3" s="13"/>
      <c r="C3" s="23"/>
      <c r="D3" s="13"/>
      <c r="E3" s="13"/>
    </row>
    <row r="4" spans="2:10" ht="22" customHeight="1" thickTop="1" x14ac:dyDescent="0.35">
      <c r="B4" s="26" t="s">
        <v>210</v>
      </c>
      <c r="C4" s="26" t="s">
        <v>213</v>
      </c>
      <c r="D4" s="29" t="s">
        <v>7</v>
      </c>
      <c r="E4" s="27" t="s">
        <v>13</v>
      </c>
      <c r="G4" s="148" t="s">
        <v>192</v>
      </c>
      <c r="H4" s="158"/>
      <c r="I4" s="158"/>
      <c r="J4" s="159"/>
    </row>
    <row r="5" spans="2:10" ht="22" customHeight="1" x14ac:dyDescent="0.35">
      <c r="B5" s="28"/>
      <c r="C5" s="28"/>
      <c r="D5" s="29" t="str">
        <f>B5&amp;C5</f>
        <v/>
      </c>
      <c r="E5" s="37" t="str">
        <f>IFERROR(VLOOKUP(D5,'Look Ups'!O$11:P$14,2,FALSE),"")</f>
        <v/>
      </c>
      <c r="G5" s="160"/>
      <c r="H5" s="161"/>
      <c r="I5" s="161"/>
      <c r="J5" s="162"/>
    </row>
    <row r="6" spans="2:10" ht="22" customHeight="1" x14ac:dyDescent="0.35">
      <c r="B6" s="28"/>
      <c r="C6" s="28"/>
      <c r="D6" s="29" t="str">
        <f t="shared" ref="D6:D22" si="0">B6&amp;C6</f>
        <v/>
      </c>
      <c r="E6" s="37" t="str">
        <f>IFERROR(VLOOKUP(D6,'Look Ups'!O$11:P$14,2,FALSE),"")</f>
        <v/>
      </c>
      <c r="G6" s="160"/>
      <c r="H6" s="161"/>
      <c r="I6" s="161"/>
      <c r="J6" s="162"/>
    </row>
    <row r="7" spans="2:10" ht="22" customHeight="1" x14ac:dyDescent="0.35">
      <c r="B7" s="28"/>
      <c r="C7" s="28"/>
      <c r="D7" s="29" t="str">
        <f t="shared" si="0"/>
        <v/>
      </c>
      <c r="E7" s="37" t="str">
        <f>IFERROR(VLOOKUP(D7,'Look Ups'!O$11:P$14,2,FALSE),"")</f>
        <v/>
      </c>
      <c r="G7" s="160"/>
      <c r="H7" s="161"/>
      <c r="I7" s="161"/>
      <c r="J7" s="162"/>
    </row>
    <row r="8" spans="2:10" ht="22" customHeight="1" x14ac:dyDescent="0.35">
      <c r="B8" s="28"/>
      <c r="C8" s="28"/>
      <c r="D8" s="29" t="str">
        <f t="shared" si="0"/>
        <v/>
      </c>
      <c r="E8" s="37" t="str">
        <f>IFERROR(VLOOKUP(D8,'Look Ups'!O$11:P$14,2,FALSE),"")</f>
        <v/>
      </c>
      <c r="G8" s="160"/>
      <c r="H8" s="161"/>
      <c r="I8" s="161"/>
      <c r="J8" s="162"/>
    </row>
    <row r="9" spans="2:10" ht="22" customHeight="1" x14ac:dyDescent="0.35">
      <c r="B9" s="28"/>
      <c r="C9" s="28"/>
      <c r="D9" s="29" t="str">
        <f t="shared" si="0"/>
        <v/>
      </c>
      <c r="E9" s="37" t="str">
        <f>IFERROR(VLOOKUP(D9,'Look Ups'!O$11:P$14,2,FALSE),"")</f>
        <v/>
      </c>
      <c r="G9" s="160"/>
      <c r="H9" s="161"/>
      <c r="I9" s="161"/>
      <c r="J9" s="162"/>
    </row>
    <row r="10" spans="2:10" ht="22" customHeight="1" x14ac:dyDescent="0.35">
      <c r="B10" s="28"/>
      <c r="C10" s="28"/>
      <c r="D10" s="29" t="str">
        <f t="shared" si="0"/>
        <v/>
      </c>
      <c r="E10" s="37" t="str">
        <f>IFERROR(VLOOKUP(D10,'Look Ups'!O$11:P$14,2,FALSE),"")</f>
        <v/>
      </c>
      <c r="G10" s="160"/>
      <c r="H10" s="161"/>
      <c r="I10" s="161"/>
      <c r="J10" s="162"/>
    </row>
    <row r="11" spans="2:10" ht="22" customHeight="1" x14ac:dyDescent="0.35">
      <c r="B11" s="28"/>
      <c r="C11" s="28"/>
      <c r="D11" s="29" t="str">
        <f t="shared" si="0"/>
        <v/>
      </c>
      <c r="E11" s="37" t="str">
        <f>IFERROR(VLOOKUP(D11,'Look Ups'!O$11:P$14,2,FALSE),"")</f>
        <v/>
      </c>
      <c r="G11" s="160"/>
      <c r="H11" s="161"/>
      <c r="I11" s="161"/>
      <c r="J11" s="162"/>
    </row>
    <row r="12" spans="2:10" ht="22" customHeight="1" x14ac:dyDescent="0.35">
      <c r="B12" s="28"/>
      <c r="C12" s="28"/>
      <c r="D12" s="29" t="str">
        <f t="shared" si="0"/>
        <v/>
      </c>
      <c r="E12" s="37" t="str">
        <f>IFERROR(VLOOKUP(D12,'Look Ups'!O$11:P$14,2,FALSE),"")</f>
        <v/>
      </c>
      <c r="G12" s="160"/>
      <c r="H12" s="161"/>
      <c r="I12" s="161"/>
      <c r="J12" s="162"/>
    </row>
    <row r="13" spans="2:10" ht="22" customHeight="1" x14ac:dyDescent="0.35">
      <c r="B13" s="28"/>
      <c r="C13" s="28"/>
      <c r="D13" s="29" t="str">
        <f t="shared" si="0"/>
        <v/>
      </c>
      <c r="E13" s="37" t="str">
        <f>IFERROR(VLOOKUP(D13,'Look Ups'!O$11:P$14,2,FALSE),"")</f>
        <v/>
      </c>
      <c r="G13" s="160"/>
      <c r="H13" s="161"/>
      <c r="I13" s="161"/>
      <c r="J13" s="162"/>
    </row>
    <row r="14" spans="2:10" ht="22" customHeight="1" x14ac:dyDescent="0.35">
      <c r="B14" s="28"/>
      <c r="C14" s="28"/>
      <c r="D14" s="29" t="str">
        <f t="shared" si="0"/>
        <v/>
      </c>
      <c r="E14" s="37" t="str">
        <f>IFERROR(VLOOKUP(D14,'Look Ups'!O$11:P$14,2,FALSE),"")</f>
        <v/>
      </c>
      <c r="G14" s="160"/>
      <c r="H14" s="161"/>
      <c r="I14" s="161"/>
      <c r="J14" s="162"/>
    </row>
    <row r="15" spans="2:10" ht="22" customHeight="1" x14ac:dyDescent="0.35">
      <c r="B15" s="28"/>
      <c r="C15" s="28"/>
      <c r="D15" s="29" t="str">
        <f t="shared" si="0"/>
        <v/>
      </c>
      <c r="E15" s="37" t="str">
        <f>IFERROR(VLOOKUP(D15,'Look Ups'!O$11:P$14,2,FALSE),"")</f>
        <v/>
      </c>
      <c r="G15" s="160"/>
      <c r="H15" s="161"/>
      <c r="I15" s="161"/>
      <c r="J15" s="162"/>
    </row>
    <row r="16" spans="2:10" ht="22" customHeight="1" x14ac:dyDescent="0.35">
      <c r="B16" s="28"/>
      <c r="C16" s="28"/>
      <c r="D16" s="29" t="str">
        <f t="shared" si="0"/>
        <v/>
      </c>
      <c r="E16" s="37" t="str">
        <f>IFERROR(VLOOKUP(D16,'Look Ups'!O$11:P$14,2,FALSE),"")</f>
        <v/>
      </c>
      <c r="G16" s="160"/>
      <c r="H16" s="161"/>
      <c r="I16" s="161"/>
      <c r="J16" s="162"/>
    </row>
    <row r="17" spans="2:10" ht="22" customHeight="1" x14ac:dyDescent="0.35">
      <c r="B17" s="28"/>
      <c r="C17" s="28"/>
      <c r="D17" s="29" t="str">
        <f t="shared" si="0"/>
        <v/>
      </c>
      <c r="E17" s="37" t="str">
        <f>IFERROR(VLOOKUP(D17,'Look Ups'!O$11:P$14,2,FALSE),"")</f>
        <v/>
      </c>
      <c r="G17" s="160"/>
      <c r="H17" s="161"/>
      <c r="I17" s="161"/>
      <c r="J17" s="162"/>
    </row>
    <row r="18" spans="2:10" ht="22" customHeight="1" x14ac:dyDescent="0.35">
      <c r="B18" s="28"/>
      <c r="C18" s="28"/>
      <c r="D18" s="29" t="str">
        <f t="shared" si="0"/>
        <v/>
      </c>
      <c r="E18" s="37" t="str">
        <f>IFERROR(VLOOKUP(D18,'Look Ups'!O$11:P$14,2,FALSE),"")</f>
        <v/>
      </c>
      <c r="G18" s="160"/>
      <c r="H18" s="161"/>
      <c r="I18" s="161"/>
      <c r="J18" s="162"/>
    </row>
    <row r="19" spans="2:10" ht="22" customHeight="1" x14ac:dyDescent="0.35">
      <c r="B19" s="28"/>
      <c r="C19" s="28"/>
      <c r="D19" s="29" t="str">
        <f t="shared" si="0"/>
        <v/>
      </c>
      <c r="E19" s="37" t="str">
        <f>IFERROR(VLOOKUP(D19,'Look Ups'!O$11:P$14,2,FALSE),"")</f>
        <v/>
      </c>
      <c r="G19" s="160"/>
      <c r="H19" s="161"/>
      <c r="I19" s="161"/>
      <c r="J19" s="162"/>
    </row>
    <row r="20" spans="2:10" ht="22" customHeight="1" x14ac:dyDescent="0.35">
      <c r="B20" s="28"/>
      <c r="C20" s="28"/>
      <c r="D20" s="29" t="str">
        <f t="shared" si="0"/>
        <v/>
      </c>
      <c r="E20" s="37" t="str">
        <f>IFERROR(VLOOKUP(D20,'Look Ups'!O$11:P$14,2,FALSE),"")</f>
        <v/>
      </c>
      <c r="G20" s="160"/>
      <c r="H20" s="161"/>
      <c r="I20" s="161"/>
      <c r="J20" s="162"/>
    </row>
    <row r="21" spans="2:10" ht="22" customHeight="1" x14ac:dyDescent="0.35">
      <c r="B21" s="28"/>
      <c r="C21" s="28"/>
      <c r="D21" s="29" t="str">
        <f t="shared" si="0"/>
        <v/>
      </c>
      <c r="E21" s="37" t="str">
        <f>IFERROR(VLOOKUP(D21,'Look Ups'!O$11:P$14,2,FALSE),"")</f>
        <v/>
      </c>
      <c r="G21" s="160"/>
      <c r="H21" s="161"/>
      <c r="I21" s="161"/>
      <c r="J21" s="162"/>
    </row>
    <row r="22" spans="2:10" ht="22" customHeight="1" thickBot="1" x14ac:dyDescent="0.4">
      <c r="B22" s="28"/>
      <c r="C22" s="28"/>
      <c r="D22" s="29" t="str">
        <f t="shared" si="0"/>
        <v/>
      </c>
      <c r="E22" s="37" t="str">
        <f>IFERROR(VLOOKUP(D22,'Look Ups'!O$11:P$14,2,FALSE),"")</f>
        <v/>
      </c>
      <c r="G22" s="163"/>
      <c r="H22" s="164"/>
      <c r="I22" s="164"/>
      <c r="J22" s="165"/>
    </row>
    <row r="23" spans="2:10" ht="15" thickTop="1" x14ac:dyDescent="0.35"/>
  </sheetData>
  <sheetProtection algorithmName="SHA-512" hashValue="dNZ3XSzDoXMmTyk4aEx73ZDhwGtrbN3+FBAV3vi/dw4xDhDXxMmZnsRaj37BRpgL1PTo+KakWKDzuCNwJxLMEQ==" saltValue="irhHYzWI1uO2kj+y61SRig==" spinCount="100000" sheet="1" objects="1" scenarios="1"/>
  <mergeCells count="2">
    <mergeCell ref="C2:E2"/>
    <mergeCell ref="G4:J22"/>
  </mergeCells>
  <conditionalFormatting sqref="E5:E22">
    <cfRule type="expression" dxfId="19" priority="1">
      <formula>$C$2="Please confirm your acceptance of the Terms of Use"</formula>
    </cfRule>
    <cfRule type="expression" dxfId="18" priority="2">
      <formula>$C$2="Please refer to Front Page"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BC295EE-201A-418D-8D5E-7D7D77CDA1EF}">
          <x14:formula1>
            <xm:f>Lists!$A$1:$A$2</xm:f>
          </x14:formula1>
          <xm:sqref>B5:B1048576</xm:sqref>
        </x14:dataValidation>
        <x14:dataValidation type="list" allowBlank="1" showInputMessage="1" showErrorMessage="1" xr:uid="{6A12A6E9-6404-4437-B89D-A99086A78CEF}">
          <x14:formula1>
            <xm:f>Lists!$D$1:$D$2</xm:f>
          </x14:formula1>
          <xm:sqref>C5:C1048576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E5448-22E3-40B6-8129-1FEC404157AE}">
  <sheetPr codeName="Sheet9">
    <tabColor theme="9" tint="0.39997558519241921"/>
  </sheetPr>
  <dimension ref="A1:M23"/>
  <sheetViews>
    <sheetView showGridLines="0" showRowColHeaders="0" workbookViewId="0">
      <selection activeCell="G14" sqref="G14"/>
    </sheetView>
  </sheetViews>
  <sheetFormatPr defaultColWidth="0" defaultRowHeight="21.5" zeroHeight="1" x14ac:dyDescent="0.9"/>
  <cols>
    <col min="1" max="1" width="3.453125" style="13" customWidth="1"/>
    <col min="2" max="2" width="19.81640625" style="13" customWidth="1"/>
    <col min="3" max="3" width="14.81640625" style="13" customWidth="1"/>
    <col min="4" max="4" width="18.453125" style="13" customWidth="1"/>
    <col min="5" max="5" width="27.26953125" style="13" customWidth="1"/>
    <col min="6" max="6" width="12.81640625" style="13" hidden="1" customWidth="1"/>
    <col min="7" max="7" width="33.453125" style="13" customWidth="1"/>
    <col min="8" max="8" width="3.453125" style="13" customWidth="1"/>
    <col min="9" max="13" width="8.7265625" style="13" customWidth="1"/>
    <col min="14" max="16384" width="8.7265625" style="13" hidden="1"/>
  </cols>
  <sheetData>
    <row r="1" spans="2:12" ht="14.5" customHeight="1" x14ac:dyDescent="0.9"/>
    <row r="2" spans="2:12" x14ac:dyDescent="0.9">
      <c r="B2" s="39" t="s">
        <v>80</v>
      </c>
      <c r="C2" s="166" t="str">
        <f>IF(Lists!W6="LOCKED","Please confirm your acceptance of the Terms of Use",SUM(G5:G22))</f>
        <v>Please confirm your acceptance of the Terms of Use</v>
      </c>
      <c r="D2" s="166"/>
      <c r="E2" s="166"/>
      <c r="F2" s="166"/>
      <c r="G2" s="166"/>
    </row>
    <row r="3" spans="2:12" ht="14.5" customHeight="1" thickBot="1" x14ac:dyDescent="0.95">
      <c r="C3" s="23"/>
    </row>
    <row r="4" spans="2:12" ht="22" customHeight="1" thickTop="1" x14ac:dyDescent="0.9">
      <c r="B4" s="35" t="s">
        <v>213</v>
      </c>
      <c r="C4" s="35" t="s">
        <v>104</v>
      </c>
      <c r="D4" s="35" t="s">
        <v>219</v>
      </c>
      <c r="E4" s="35" t="s">
        <v>220</v>
      </c>
      <c r="F4" s="14" t="s">
        <v>111</v>
      </c>
      <c r="G4" s="27" t="s">
        <v>13</v>
      </c>
      <c r="I4" s="148" t="s">
        <v>193</v>
      </c>
      <c r="J4" s="158"/>
      <c r="K4" s="158"/>
      <c r="L4" s="159"/>
    </row>
    <row r="5" spans="2:12" ht="22" customHeight="1" x14ac:dyDescent="0.9">
      <c r="B5" s="36"/>
      <c r="C5" s="36"/>
      <c r="D5" s="36"/>
      <c r="E5" s="36"/>
      <c r="F5" s="14" t="str">
        <f>B5&amp;C5&amp;D5</f>
        <v/>
      </c>
      <c r="G5" s="37" t="str">
        <f>IFERROR((VLOOKUP(F5,'Look Ups'!$AX$10:$AY$21,2,FALSE)*'6. On-site Service Connections'!E5),"")</f>
        <v/>
      </c>
      <c r="I5" s="160"/>
      <c r="J5" s="161"/>
      <c r="K5" s="161"/>
      <c r="L5" s="162"/>
    </row>
    <row r="6" spans="2:12" ht="22" customHeight="1" x14ac:dyDescent="0.9">
      <c r="B6" s="36"/>
      <c r="C6" s="36"/>
      <c r="D6" s="36"/>
      <c r="E6" s="36"/>
      <c r="F6" s="14" t="str">
        <f t="shared" ref="F6:F22" si="0">B6&amp;C6&amp;D6</f>
        <v/>
      </c>
      <c r="G6" s="37" t="str">
        <f>IFERROR((VLOOKUP(F6,'Look Ups'!$AX$10:$AY$21,2,FALSE)*'6. On-site Service Connections'!E6),"")</f>
        <v/>
      </c>
      <c r="I6" s="160"/>
      <c r="J6" s="161"/>
      <c r="K6" s="161"/>
      <c r="L6" s="162"/>
    </row>
    <row r="7" spans="2:12" ht="22" customHeight="1" x14ac:dyDescent="0.9">
      <c r="B7" s="36"/>
      <c r="C7" s="36"/>
      <c r="D7" s="36"/>
      <c r="E7" s="36"/>
      <c r="F7" s="14" t="str">
        <f t="shared" si="0"/>
        <v/>
      </c>
      <c r="G7" s="37" t="str">
        <f>IFERROR((VLOOKUP(F7,'Look Ups'!$AX$10:$AY$21,2,FALSE)*'6. On-site Service Connections'!E7),"")</f>
        <v/>
      </c>
      <c r="I7" s="160"/>
      <c r="J7" s="161"/>
      <c r="K7" s="161"/>
      <c r="L7" s="162"/>
    </row>
    <row r="8" spans="2:12" ht="22" customHeight="1" x14ac:dyDescent="0.9">
      <c r="B8" s="36"/>
      <c r="C8" s="36"/>
      <c r="D8" s="36"/>
      <c r="E8" s="36"/>
      <c r="F8" s="14" t="str">
        <f t="shared" si="0"/>
        <v/>
      </c>
      <c r="G8" s="37" t="str">
        <f>IFERROR((VLOOKUP(F8,'Look Ups'!$AX$10:$AY$21,2,FALSE)*'6. On-site Service Connections'!E8),"")</f>
        <v/>
      </c>
      <c r="I8" s="160"/>
      <c r="J8" s="161"/>
      <c r="K8" s="161"/>
      <c r="L8" s="162"/>
    </row>
    <row r="9" spans="2:12" ht="22" customHeight="1" x14ac:dyDescent="0.9">
      <c r="B9" s="36"/>
      <c r="C9" s="36"/>
      <c r="D9" s="36"/>
      <c r="E9" s="36"/>
      <c r="F9" s="14" t="str">
        <f t="shared" si="0"/>
        <v/>
      </c>
      <c r="G9" s="37" t="str">
        <f>IFERROR((VLOOKUP(F9,'Look Ups'!$AX$10:$AY$21,2,FALSE)*'6. On-site Service Connections'!E9),"")</f>
        <v/>
      </c>
      <c r="I9" s="160"/>
      <c r="J9" s="161"/>
      <c r="K9" s="161"/>
      <c r="L9" s="162"/>
    </row>
    <row r="10" spans="2:12" ht="22" customHeight="1" x14ac:dyDescent="0.9">
      <c r="B10" s="36"/>
      <c r="C10" s="36"/>
      <c r="D10" s="36"/>
      <c r="E10" s="36"/>
      <c r="F10" s="14" t="str">
        <f t="shared" si="0"/>
        <v/>
      </c>
      <c r="G10" s="37" t="str">
        <f>IFERROR((VLOOKUP(F10,'Look Ups'!$AX$10:$AY$21,2,FALSE)*'6. On-site Service Connections'!E10),"")</f>
        <v/>
      </c>
      <c r="I10" s="160"/>
      <c r="J10" s="161"/>
      <c r="K10" s="161"/>
      <c r="L10" s="162"/>
    </row>
    <row r="11" spans="2:12" ht="22" customHeight="1" x14ac:dyDescent="0.9">
      <c r="B11" s="36"/>
      <c r="C11" s="36"/>
      <c r="D11" s="36"/>
      <c r="E11" s="36"/>
      <c r="F11" s="14" t="str">
        <f t="shared" si="0"/>
        <v/>
      </c>
      <c r="G11" s="37" t="str">
        <f>IFERROR((VLOOKUP(F11,'Look Ups'!$AX$10:$AY$21,2,FALSE)*'6. On-site Service Connections'!E11),"")</f>
        <v/>
      </c>
      <c r="I11" s="160"/>
      <c r="J11" s="161"/>
      <c r="K11" s="161"/>
      <c r="L11" s="162"/>
    </row>
    <row r="12" spans="2:12" ht="22" customHeight="1" x14ac:dyDescent="0.9">
      <c r="B12" s="36"/>
      <c r="C12" s="36"/>
      <c r="D12" s="36"/>
      <c r="E12" s="36"/>
      <c r="F12" s="14" t="str">
        <f t="shared" si="0"/>
        <v/>
      </c>
      <c r="G12" s="37" t="str">
        <f>IFERROR((VLOOKUP(F12,'Look Ups'!$AX$10:$AY$21,2,FALSE)*'6. On-site Service Connections'!E12),"")</f>
        <v/>
      </c>
      <c r="I12" s="160"/>
      <c r="J12" s="161"/>
      <c r="K12" s="161"/>
      <c r="L12" s="162"/>
    </row>
    <row r="13" spans="2:12" ht="22" customHeight="1" x14ac:dyDescent="0.9">
      <c r="B13" s="36"/>
      <c r="C13" s="36"/>
      <c r="D13" s="36"/>
      <c r="E13" s="36"/>
      <c r="F13" s="14" t="str">
        <f t="shared" si="0"/>
        <v/>
      </c>
      <c r="G13" s="37" t="str">
        <f>IFERROR((VLOOKUP(F13,'Look Ups'!$AX$10:$AY$21,2,FALSE)*'6. On-site Service Connections'!E13),"")</f>
        <v/>
      </c>
      <c r="I13" s="160"/>
      <c r="J13" s="161"/>
      <c r="K13" s="161"/>
      <c r="L13" s="162"/>
    </row>
    <row r="14" spans="2:12" ht="22" customHeight="1" x14ac:dyDescent="0.9">
      <c r="B14" s="36"/>
      <c r="C14" s="36"/>
      <c r="D14" s="36"/>
      <c r="E14" s="36"/>
      <c r="F14" s="14" t="str">
        <f t="shared" si="0"/>
        <v/>
      </c>
      <c r="G14" s="37" t="str">
        <f>IFERROR((VLOOKUP(F14,'Look Ups'!$AX$10:$AY$21,2,FALSE)*'6. On-site Service Connections'!E14),"")</f>
        <v/>
      </c>
      <c r="I14" s="160"/>
      <c r="J14" s="161"/>
      <c r="K14" s="161"/>
      <c r="L14" s="162"/>
    </row>
    <row r="15" spans="2:12" ht="22" customHeight="1" x14ac:dyDescent="0.9">
      <c r="B15" s="36"/>
      <c r="C15" s="36"/>
      <c r="D15" s="36"/>
      <c r="E15" s="36"/>
      <c r="F15" s="14" t="str">
        <f t="shared" si="0"/>
        <v/>
      </c>
      <c r="G15" s="37" t="str">
        <f>IFERROR((VLOOKUP(F15,'Look Ups'!$AX$10:$AY$21,2,FALSE)*'6. On-site Service Connections'!E15),"")</f>
        <v/>
      </c>
      <c r="I15" s="160"/>
      <c r="J15" s="161"/>
      <c r="K15" s="161"/>
      <c r="L15" s="162"/>
    </row>
    <row r="16" spans="2:12" ht="22" customHeight="1" x14ac:dyDescent="0.9">
      <c r="B16" s="36"/>
      <c r="C16" s="36"/>
      <c r="D16" s="36"/>
      <c r="E16" s="36"/>
      <c r="F16" s="14" t="str">
        <f t="shared" si="0"/>
        <v/>
      </c>
      <c r="G16" s="37" t="str">
        <f>IFERROR((VLOOKUP(F16,'Look Ups'!$AX$10:$AY$21,2,FALSE)*'6. On-site Service Connections'!E16),"")</f>
        <v/>
      </c>
      <c r="I16" s="160"/>
      <c r="J16" s="161"/>
      <c r="K16" s="161"/>
      <c r="L16" s="162"/>
    </row>
    <row r="17" spans="2:12" ht="22" customHeight="1" x14ac:dyDescent="0.9">
      <c r="B17" s="36"/>
      <c r="C17" s="36"/>
      <c r="D17" s="36"/>
      <c r="E17" s="36"/>
      <c r="F17" s="14" t="str">
        <f t="shared" si="0"/>
        <v/>
      </c>
      <c r="G17" s="37" t="str">
        <f>IFERROR((VLOOKUP(F17,'Look Ups'!$AX$10:$AY$21,2,FALSE)*'6. On-site Service Connections'!E17),"")</f>
        <v/>
      </c>
      <c r="I17" s="160"/>
      <c r="J17" s="161"/>
      <c r="K17" s="161"/>
      <c r="L17" s="162"/>
    </row>
    <row r="18" spans="2:12" ht="22" customHeight="1" x14ac:dyDescent="0.9">
      <c r="B18" s="36"/>
      <c r="C18" s="36"/>
      <c r="D18" s="36"/>
      <c r="E18" s="36"/>
      <c r="F18" s="14" t="str">
        <f t="shared" si="0"/>
        <v/>
      </c>
      <c r="G18" s="37" t="str">
        <f>IFERROR((VLOOKUP(F18,'Look Ups'!$AX$10:$AY$21,2,FALSE)*'6. On-site Service Connections'!E18),"")</f>
        <v/>
      </c>
      <c r="I18" s="160"/>
      <c r="J18" s="161"/>
      <c r="K18" s="161"/>
      <c r="L18" s="162"/>
    </row>
    <row r="19" spans="2:12" ht="22" customHeight="1" x14ac:dyDescent="0.9">
      <c r="B19" s="36"/>
      <c r="C19" s="36"/>
      <c r="D19" s="36"/>
      <c r="E19" s="36"/>
      <c r="F19" s="14" t="str">
        <f t="shared" si="0"/>
        <v/>
      </c>
      <c r="G19" s="37" t="str">
        <f>IFERROR((VLOOKUP(F19,'Look Ups'!$AX$10:$AY$21,2,FALSE)*'6. On-site Service Connections'!E19),"")</f>
        <v/>
      </c>
      <c r="I19" s="160"/>
      <c r="J19" s="161"/>
      <c r="K19" s="161"/>
      <c r="L19" s="162"/>
    </row>
    <row r="20" spans="2:12" ht="22" customHeight="1" x14ac:dyDescent="0.9">
      <c r="B20" s="36"/>
      <c r="C20" s="36"/>
      <c r="D20" s="36"/>
      <c r="E20" s="36"/>
      <c r="F20" s="14" t="str">
        <f t="shared" si="0"/>
        <v/>
      </c>
      <c r="G20" s="37" t="str">
        <f>IFERROR((VLOOKUP(F20,'Look Ups'!$AX$10:$AY$21,2,FALSE)*'6. On-site Service Connections'!E20),"")</f>
        <v/>
      </c>
      <c r="I20" s="160"/>
      <c r="J20" s="161"/>
      <c r="K20" s="161"/>
      <c r="L20" s="162"/>
    </row>
    <row r="21" spans="2:12" ht="22" customHeight="1" x14ac:dyDescent="0.9">
      <c r="B21" s="36"/>
      <c r="C21" s="36"/>
      <c r="D21" s="36"/>
      <c r="E21" s="36"/>
      <c r="F21" s="14" t="str">
        <f t="shared" si="0"/>
        <v/>
      </c>
      <c r="G21" s="37" t="str">
        <f>IFERROR((VLOOKUP(F21,'Look Ups'!$AX$10:$AY$21,2,FALSE)*'6. On-site Service Connections'!E21),"")</f>
        <v/>
      </c>
      <c r="I21" s="160"/>
      <c r="J21" s="161"/>
      <c r="K21" s="161"/>
      <c r="L21" s="162"/>
    </row>
    <row r="22" spans="2:12" ht="22" customHeight="1" thickBot="1" x14ac:dyDescent="0.95">
      <c r="B22" s="36"/>
      <c r="C22" s="36"/>
      <c r="D22" s="36"/>
      <c r="E22" s="36"/>
      <c r="F22" s="14" t="str">
        <f t="shared" si="0"/>
        <v/>
      </c>
      <c r="G22" s="37" t="str">
        <f>IFERROR((VLOOKUP(F22,'Look Ups'!$AX$10:$AY$21,2,FALSE)*'6. On-site Service Connections'!E22),"")</f>
        <v/>
      </c>
      <c r="I22" s="163"/>
      <c r="J22" s="164"/>
      <c r="K22" s="164"/>
      <c r="L22" s="165"/>
    </row>
    <row r="23" spans="2:12" ht="22" thickTop="1" x14ac:dyDescent="0.9"/>
  </sheetData>
  <sheetProtection algorithmName="SHA-512" hashValue="09/1psj2VbiXkxlhNSNS5BVcwz7bFP7bShd5QHPI2Z53vo3LVw8ieGi7PMVusLpV+umWMMQhq+65YZqO4l/ktg==" saltValue="+6CnoeWS3/J0xdIncPcS2g==" spinCount="100000" sheet="1" objects="1" scenarios="1"/>
  <mergeCells count="2">
    <mergeCell ref="C2:G2"/>
    <mergeCell ref="I4:L22"/>
  </mergeCells>
  <conditionalFormatting sqref="G5:G22">
    <cfRule type="expression" dxfId="17" priority="1">
      <formula>$C$2="Please confirm your acceptance of the Terms of Use"</formula>
    </cfRule>
    <cfRule type="expression" dxfId="16" priority="2">
      <formula>$C$2="Please refer to Front Page"</formula>
    </cfRule>
  </conditionalFormatting>
  <dataValidations count="1">
    <dataValidation type="whole" allowBlank="1" showInputMessage="1" showErrorMessage="1" sqref="E5:E22" xr:uid="{2CA8D21A-6D15-49D0-AAFB-BD6FADD4E663}">
      <formula1>0</formula1>
      <formula2>1000000000000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C95C67D-AABF-4FBF-AA9E-E19CF7AD4EB7}">
          <x14:formula1>
            <xm:f>Lists!$D$1:$D$2</xm:f>
          </x14:formula1>
          <xm:sqref>B5:C22</xm:sqref>
        </x14:dataValidation>
        <x14:dataValidation type="list" allowBlank="1" showInputMessage="1" showErrorMessage="1" xr:uid="{328E90FF-A528-4956-A0BD-30581CCCDD4B}">
          <x14:formula1>
            <xm:f>Lists!$G$1:$G$3</xm:f>
          </x14:formula1>
          <xm:sqref>D5:D22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3BF103C106A64B9C96735721C1BB34" ma:contentTypeVersion="14" ma:contentTypeDescription="Create a new document." ma:contentTypeScope="" ma:versionID="9ee0d0989cc4dfc7fd2822ea088cf7e1">
  <xsd:schema xmlns:xsd="http://www.w3.org/2001/XMLSchema" xmlns:xs="http://www.w3.org/2001/XMLSchema" xmlns:p="http://schemas.microsoft.com/office/2006/metadata/properties" xmlns:ns2="6b49b777-5a85-4db1-8272-4ab93e57f55f" xmlns:ns3="f1bba0e6-7c8f-4b7f-8a91-b430cd4d8a86" targetNamespace="http://schemas.microsoft.com/office/2006/metadata/properties" ma:root="true" ma:fieldsID="bb280034d205a08182631e479d0d8e5e" ns2:_="" ns3:_="">
    <xsd:import namespace="6b49b777-5a85-4db1-8272-4ab93e57f55f"/>
    <xsd:import namespace="f1bba0e6-7c8f-4b7f-8a91-b430cd4d8a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49b777-5a85-4db1-8272-4ab93e57f5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f278e36-c164-4658-892f-8adefa22e7b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bba0e6-7c8f-4b7f-8a91-b430cd4d8a8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4bd09a4-6015-4bac-9d79-12af0367fb43}" ma:internalName="TaxCatchAll" ma:showField="CatchAllData" ma:web="f1bba0e6-7c8f-4b7f-8a91-b430cd4d8a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b49b777-5a85-4db1-8272-4ab93e57f55f">
      <Terms xmlns="http://schemas.microsoft.com/office/infopath/2007/PartnerControls"/>
    </lcf76f155ced4ddcb4097134ff3c332f>
    <TaxCatchAll xmlns="f1bba0e6-7c8f-4b7f-8a91-b430cd4d8a86" xsi:nil="true"/>
  </documentManagement>
</p:properties>
</file>

<file path=customXml/itemProps1.xml><?xml version="1.0" encoding="utf-8"?>
<ds:datastoreItem xmlns:ds="http://schemas.openxmlformats.org/officeDocument/2006/customXml" ds:itemID="{506F2E34-8BC3-420D-851D-C997251C3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49b777-5a85-4db1-8272-4ab93e57f55f"/>
    <ds:schemaRef ds:uri="f1bba0e6-7c8f-4b7f-8a91-b430cd4d8a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D3437-B91A-4851-9FE1-96F37CCF1BDE}">
  <ds:schemaRefs>
    <ds:schemaRef ds:uri="http://schemas.microsoft.com/sharepoint/v3/contenttype/forms"/>
  </ds:schemaRefs>
</ds:datastoreItem>
</file>

<file path=customXml/itemProps3.xml><?xml version="1.0" encoding="utf-8"?>
<ds:datastoreItem xmlns:ds="http://schemas.openxmlformats.org/officeDocument/2006/customXml" ds:itemID="{EDE1B2CF-B96F-4D54-947A-02DD2292C5BC}">
  <ds:schemaRefs>
    <ds:schemaRef ds:uri="http://schemas.microsoft.com/office/2006/metadata/properties"/>
    <ds:schemaRef ds:uri="http://schemas.microsoft.com/office/infopath/2007/PartnerControls"/>
    <ds:schemaRef ds:uri="6b49b777-5a85-4db1-8272-4ab93e57f55f"/>
    <ds:schemaRef ds:uri="f1bba0e6-7c8f-4b7f-8a91-b430cd4d8a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Terms Of Use</vt:lpstr>
      <vt:lpstr>Instructions</vt:lpstr>
      <vt:lpstr>Your Estimate</vt:lpstr>
      <vt:lpstr>1. Application Fees</vt:lpstr>
      <vt:lpstr>2. Branch Connections</vt:lpstr>
      <vt:lpstr>3. Main Laying</vt:lpstr>
      <vt:lpstr>4. Chlorinations For Self Laid</vt:lpstr>
      <vt:lpstr>5. Additional Phases</vt:lpstr>
      <vt:lpstr>6. On-site Service Connections</vt:lpstr>
      <vt:lpstr>7. On-site Manifolds</vt:lpstr>
      <vt:lpstr>8. Meters For Self Lay</vt:lpstr>
      <vt:lpstr>9. Meters For Flats</vt:lpstr>
      <vt:lpstr>10. Traffic Management</vt:lpstr>
      <vt:lpstr>10. Network Assembly</vt:lpstr>
      <vt:lpstr>12. Disconnection And Capping</vt:lpstr>
      <vt:lpstr>11. Infrastructure Charges</vt:lpstr>
      <vt:lpstr>12. NHH Infrastructure Charges</vt:lpstr>
      <vt:lpstr>Loading Units</vt:lpstr>
      <vt:lpstr>Lists</vt:lpstr>
      <vt:lpstr>Look 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Alastair KOTWAL</dc:creator>
  <cp:lastModifiedBy>Jamie Mckinlay</cp:lastModifiedBy>
  <dcterms:created xsi:type="dcterms:W3CDTF">2023-05-26T09:50:47Z</dcterms:created>
  <dcterms:modified xsi:type="dcterms:W3CDTF">2023-07-24T10:17:16Z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4dfc70-0289-4bbf-a1df-2e48919102f8_Enabled">
    <vt:lpwstr>true</vt:lpwstr>
  </property>
  <property fmtid="{D5CDD505-2E9C-101B-9397-08002B2CF9AE}" pid="3" name="MSIP_Label_d04dfc70-0289-4bbf-a1df-2e48919102f8_SetDate">
    <vt:lpwstr>2023-05-26T09:50:47Z</vt:lpwstr>
  </property>
  <property fmtid="{D5CDD505-2E9C-101B-9397-08002B2CF9AE}" pid="4" name="MSIP_Label_d04dfc70-0289-4bbf-a1df-2e48919102f8_Method">
    <vt:lpwstr>Standard</vt:lpwstr>
  </property>
  <property fmtid="{D5CDD505-2E9C-101B-9397-08002B2CF9AE}" pid="5" name="MSIP_Label_d04dfc70-0289-4bbf-a1df-2e48919102f8_Name">
    <vt:lpwstr>Private2</vt:lpwstr>
  </property>
  <property fmtid="{D5CDD505-2E9C-101B-9397-08002B2CF9AE}" pid="6" name="MSIP_Label_d04dfc70-0289-4bbf-a1df-2e48919102f8_SiteId">
    <vt:lpwstr>92ebd22d-0a9c-4516-a68f-ba966853a8f3</vt:lpwstr>
  </property>
  <property fmtid="{D5CDD505-2E9C-101B-9397-08002B2CF9AE}" pid="7" name="MSIP_Label_d04dfc70-0289-4bbf-a1df-2e48919102f8_ActionId">
    <vt:lpwstr>eb97abd5-3794-4055-a4a9-bd363111b495</vt:lpwstr>
  </property>
  <property fmtid="{D5CDD505-2E9C-101B-9397-08002B2CF9AE}" pid="8" name="MSIP_Label_d04dfc70-0289-4bbf-a1df-2e48919102f8_ContentBits">
    <vt:lpwstr>0</vt:lpwstr>
  </property>
  <property fmtid="{D5CDD505-2E9C-101B-9397-08002B2CF9AE}" pid="9" name="ContentTypeId">
    <vt:lpwstr>0x0101003F3BF103C106A64B9C96735721C1BB34</vt:lpwstr>
  </property>
  <property fmtid="{D5CDD505-2E9C-101B-9397-08002B2CF9AE}" pid="10" name="MediaServiceImageTags">
    <vt:lpwstr/>
  </property>
</Properties>
</file>